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a4eb94466f585b3/Desktop/Verwaltung_Akademie/Lernmaterial/Prüfungen/NEUE PO/Abschlussprüfung/DWS_Musterprüfungen/DWS_Musterprüfungen_8. Auflage/Eigene Lösungen/"/>
    </mc:Choice>
  </mc:AlternateContent>
  <xr:revisionPtr revIDLastSave="3" documentId="13_ncr:1_{C9766EAA-3768-4FC6-9C59-068183B9CD75}" xr6:coauthVersionLast="47" xr6:coauthVersionMax="47" xr10:uidLastSave="{D4572659-74C0-4A41-BA3F-EBAE58DECBA1}"/>
  <bookViews>
    <workbookView xWindow="-110" yWindow="-110" windowWidth="25180" windowHeight="161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6" i="1" l="1"/>
  <c r="F49" i="1"/>
  <c r="F44" i="1"/>
  <c r="F46" i="1" s="1"/>
  <c r="F48" i="1" s="1"/>
  <c r="F50" i="1" s="1"/>
  <c r="F20" i="1"/>
  <c r="F37" i="1" s="1"/>
  <c r="F41" i="1" s="1"/>
  <c r="F36" i="1"/>
  <c r="F25" i="1"/>
  <c r="F26" i="1"/>
  <c r="M49" i="1"/>
  <c r="M44" i="1"/>
  <c r="M46" i="1" s="1"/>
  <c r="M48" i="1" s="1"/>
  <c r="M50" i="1" s="1"/>
  <c r="M27" i="1"/>
  <c r="M29" i="1" s="1"/>
  <c r="M30" i="1" s="1"/>
  <c r="M25" i="1"/>
  <c r="M26" i="1"/>
  <c r="Q20" i="1"/>
  <c r="O20" i="1"/>
  <c r="E20" i="1"/>
  <c r="D20" i="1"/>
  <c r="M19" i="1"/>
  <c r="M32" i="1" s="1"/>
  <c r="M36" i="1" s="1"/>
  <c r="M20" i="1" l="1"/>
  <c r="M37" i="1" s="1"/>
  <c r="M41" i="1" s="1"/>
  <c r="E44" i="1"/>
  <c r="E46" i="1" s="1"/>
  <c r="E26" i="1"/>
  <c r="E23" i="1"/>
  <c r="E27" i="1" s="1"/>
  <c r="E29" i="1" s="1"/>
  <c r="E30" i="1" s="1"/>
  <c r="E37" i="1" s="1"/>
  <c r="E41" i="1" s="1"/>
  <c r="D44" i="1"/>
  <c r="D46" i="1" s="1"/>
  <c r="D37" i="1"/>
  <c r="D41" i="1" s="1"/>
  <c r="D26" i="1"/>
  <c r="D23" i="1"/>
  <c r="D27" i="1" s="1"/>
  <c r="C44" i="1"/>
  <c r="C46" i="1" s="1"/>
  <c r="C48" i="1" s="1"/>
  <c r="C50" i="1" s="1"/>
  <c r="C25" i="1"/>
  <c r="C26" i="1"/>
  <c r="C23" i="1"/>
  <c r="C17" i="1"/>
  <c r="C7" i="1"/>
  <c r="C13" i="1"/>
  <c r="Q44" i="1"/>
  <c r="Q46" i="1" s="1"/>
  <c r="Q34" i="1"/>
  <c r="Q26" i="1"/>
  <c r="Q25" i="1"/>
  <c r="Q23" i="1"/>
  <c r="Q27" i="1" s="1"/>
  <c r="Q29" i="1" s="1"/>
  <c r="Q30" i="1" s="1"/>
  <c r="P49" i="1"/>
  <c r="P44" i="1"/>
  <c r="P46" i="1" s="1"/>
  <c r="P48" i="1" s="1"/>
  <c r="P50" i="1" s="1"/>
  <c r="P25" i="1"/>
  <c r="P27" i="1" s="1"/>
  <c r="P13" i="1"/>
  <c r="O49" i="1"/>
  <c r="O44" i="1"/>
  <c r="O46" i="1" s="1"/>
  <c r="O48" i="1" s="1"/>
  <c r="O37" i="1"/>
  <c r="O41" i="1" s="1"/>
  <c r="O26" i="1"/>
  <c r="O27" i="1" s="1"/>
  <c r="N49" i="1"/>
  <c r="N44" i="1"/>
  <c r="N46" i="1" s="1"/>
  <c r="N48" i="1" s="1"/>
  <c r="N50" i="1" s="1"/>
  <c r="N25" i="1"/>
  <c r="N27" i="1" s="1"/>
  <c r="N13" i="1"/>
  <c r="L49" i="1"/>
  <c r="L44" i="1"/>
  <c r="L46" i="1" s="1"/>
  <c r="L48" i="1" s="1"/>
  <c r="L50" i="1" s="1"/>
  <c r="L27" i="1"/>
  <c r="L14" i="1"/>
  <c r="H14" i="1"/>
  <c r="H13" i="1"/>
  <c r="H20" i="1" s="1"/>
  <c r="H37" i="1" s="1"/>
  <c r="L10" i="1"/>
  <c r="L20" i="1" s="1"/>
  <c r="K49" i="1"/>
  <c r="K44" i="1"/>
  <c r="K46" i="1" s="1"/>
  <c r="K48" i="1" s="1"/>
  <c r="J27" i="1"/>
  <c r="K17" i="1"/>
  <c r="K23" i="1"/>
  <c r="K25" i="1"/>
  <c r="K26" i="1"/>
  <c r="K13" i="1"/>
  <c r="J49" i="1"/>
  <c r="J44" i="1"/>
  <c r="J46" i="1" s="1"/>
  <c r="J48" i="1" s="1"/>
  <c r="J17" i="1"/>
  <c r="J20" i="1" s="1"/>
  <c r="J34" i="1"/>
  <c r="I25" i="1"/>
  <c r="I49" i="1"/>
  <c r="I44" i="1"/>
  <c r="I46" i="1" s="1"/>
  <c r="I48" i="1" s="1"/>
  <c r="I50" i="1" s="1"/>
  <c r="I23" i="1"/>
  <c r="I17" i="1"/>
  <c r="I26" i="1"/>
  <c r="H49" i="1"/>
  <c r="H44" i="1"/>
  <c r="H46" i="1" s="1"/>
  <c r="H48" i="1" s="1"/>
  <c r="H26" i="1"/>
  <c r="G44" i="1"/>
  <c r="G46" i="1" s="1"/>
  <c r="G48" i="1" s="1"/>
  <c r="G26" i="1"/>
  <c r="G25" i="1"/>
  <c r="G23" i="1"/>
  <c r="G27" i="1" s="1"/>
  <c r="G16" i="1"/>
  <c r="G17" i="1"/>
  <c r="G7" i="1"/>
  <c r="G20" i="1" s="1"/>
  <c r="G37" i="1" s="1"/>
  <c r="N37" i="1" l="1"/>
  <c r="N41" i="1" s="1"/>
  <c r="N20" i="1"/>
  <c r="I37" i="1"/>
  <c r="I41" i="1" s="1"/>
  <c r="I20" i="1"/>
  <c r="G49" i="1"/>
  <c r="G50" i="1" s="1"/>
  <c r="C20" i="1"/>
  <c r="H50" i="1"/>
  <c r="K20" i="1"/>
  <c r="P20" i="1"/>
  <c r="P37" i="1" s="1"/>
  <c r="P41" i="1" s="1"/>
  <c r="C27" i="1"/>
  <c r="J37" i="1"/>
  <c r="J41" i="1" s="1"/>
  <c r="I27" i="1"/>
  <c r="L37" i="1"/>
  <c r="L41" i="1" s="1"/>
  <c r="Q37" i="1"/>
  <c r="Q41" i="1" s="1"/>
  <c r="H41" i="1"/>
  <c r="K27" i="1"/>
  <c r="G41" i="1"/>
  <c r="O50" i="1"/>
  <c r="K50" i="1"/>
  <c r="K51" i="1" s="1"/>
  <c r="K37" i="1"/>
  <c r="K41" i="1" s="1"/>
  <c r="H27" i="1"/>
  <c r="J50" i="1"/>
  <c r="C29" i="1"/>
  <c r="C30" i="1" s="1"/>
  <c r="C37" i="1" l="1"/>
  <c r="C41" i="1" s="1"/>
</calcChain>
</file>

<file path=xl/sharedStrings.xml><?xml version="1.0" encoding="utf-8"?>
<sst xmlns="http://schemas.openxmlformats.org/spreadsheetml/2006/main" count="100" uniqueCount="62">
  <si>
    <t>vorläufiger Jahresüberschuss/Jahresfehlbetrag</t>
  </si>
  <si>
    <t>Bewirtungsaufwendungen (§ 4 V Nr. 2 EStG)</t>
  </si>
  <si>
    <t>+</t>
  </si>
  <si>
    <t>=</t>
  </si>
  <si>
    <t>2023/2024</t>
  </si>
  <si>
    <t>GewSt-Vorauszahlung (§ 4 Vb EStG)</t>
  </si>
  <si>
    <t>-</t>
  </si>
  <si>
    <t>zu korrigierende Einnahmen</t>
  </si>
  <si>
    <t>Hinzurechnungen (§ 8 GewStG)</t>
  </si>
  <si>
    <t>Nr.1: 1/4 x (Summe a bis f - Freibetrag 200.000 €)</t>
  </si>
  <si>
    <t xml:space="preserve">   a) 100 % der Entgelte für Schulden</t>
  </si>
  <si>
    <t xml:space="preserve">   
d) 20 % Miete bewegl. WG des AV</t>
  </si>
  <si>
    <t xml:space="preserve">   
e) 50 % Miete unbewegl. WG des AV</t>
  </si>
  <si>
    <t>Zwischensumme a bis f</t>
  </si>
  <si>
    <t>Freibetrag</t>
  </si>
  <si>
    <t>Zwischensumme</t>
  </si>
  <si>
    <t>* 1/4 =</t>
  </si>
  <si>
    <t>Kürzungen (§ 9 GewStG)</t>
  </si>
  <si>
    <t>maßgebender Gewerbeertrag (§ 10 GewStG)</t>
  </si>
  <si>
    <t>Gewerbeverlust aus Vorjahren (§ 10a GewStG)</t>
  </si>
  <si>
    <t xml:space="preserve">   uneingeschränkter Verlustabzug bis 1 Mio Euro €</t>
  </si>
  <si>
    <t xml:space="preserve">   eingeschränkter Verlustabzug (60 % des verbleibenden Gewerbeertrags)</t>
  </si>
  <si>
    <t>vorläufiger Gewerbeertrag</t>
  </si>
  <si>
    <t>Abrunden auf volle 100 €</t>
  </si>
  <si>
    <t>24.500 Euro bei natürlichen Personen und Personengesellschaften</t>
  </si>
  <si>
    <t>endgültiger Gewerbeertrag</t>
  </si>
  <si>
    <t>Steuermesszahl (§ 11 II GewStG)</t>
  </si>
  <si>
    <t>x</t>
  </si>
  <si>
    <t>Steuermessbetrag (§ 11 I 2 GewStG)</t>
  </si>
  <si>
    <t>Hebesatz (§ 16 GewStG)</t>
  </si>
  <si>
    <t>Gewerbesteuer (§ 16 I 1 GewStG)</t>
  </si>
  <si>
    <t>Vorauszahlung (§ 21 GewStG)</t>
  </si>
  <si>
    <t>Abschlusszahlung (= Rückstellung) / Erstattung (= sonstige Forderung)</t>
  </si>
  <si>
    <t>zu korrigierende Betriebsausgaben/Bilanzpositionen</t>
  </si>
  <si>
    <t xml:space="preserve">   c) 100 % der Gewinnanteile des stillen Gesellschafters</t>
  </si>
  <si>
    <t>Nr. 1: Grundbesitzkürzungen</t>
  </si>
  <si>
    <t>Nr. 2: Gewinnanteile bei PersG</t>
  </si>
  <si>
    <t>Nr. 5 Zuwendungen bei allen Gewerbetreibenden</t>
  </si>
  <si>
    <t>Nr. 8: Anteile am Verlust von PersG</t>
  </si>
  <si>
    <t>Nr. 9: Zuwendungen bei Körperschaften</t>
  </si>
  <si>
    <t>2022/2023</t>
  </si>
  <si>
    <t>2021/2022</t>
  </si>
  <si>
    <t>OHG</t>
  </si>
  <si>
    <t>endgültiger handelsrechtlicher Jahresüberschuss</t>
  </si>
  <si>
    <t>KG</t>
  </si>
  <si>
    <t>EU</t>
  </si>
  <si>
    <t>GewSt-Erstattung (§ 4 Vb EStG)</t>
  </si>
  <si>
    <t>politische Spenden (§ 4 VI EStG)</t>
  </si>
  <si>
    <t>Sonderbetriebseinnahmen Tätigkeitsvergütung (§ 15 I Nr. 2 EStG)</t>
  </si>
  <si>
    <t>Sonderbetriebseinnahmen Zinsen (§ 15 I Nr. 2 EStG)</t>
  </si>
  <si>
    <t>Sonderbetriebseinnahmen Miete (§ 15 I Nr. 2 EStG)</t>
  </si>
  <si>
    <t>2017/2018</t>
  </si>
  <si>
    <t>GmbH</t>
  </si>
  <si>
    <t>Probe-AP</t>
  </si>
  <si>
    <t>2024/2025</t>
  </si>
  <si>
    <t>2020/2021</t>
  </si>
  <si>
    <t>KSt-VZ</t>
  </si>
  <si>
    <t>Soli-VZ</t>
  </si>
  <si>
    <t>Geschenke (§ 4 V Nr. 1 EStG)</t>
  </si>
  <si>
    <t>Steuerrechtlicher Gewinn (§ 7 GewStG)</t>
  </si>
  <si>
    <t>gemeinnützige Zuwendungen (§ 9 I Nr. 2 KStG)</t>
  </si>
  <si>
    <t>gemeinnützige Zuwendungen (§ 10b I EStG bzw. § 9 II KStG)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</si>
</sst>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quotePrefix="1" applyBorder="1"/>
    <xf numFmtId="0" fontId="0" fillId="0" borderId="1" xfId="0" applyBorder="1"/>
    <xf numFmtId="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" xfId="0" quotePrefix="1" applyBorder="1"/>
    <xf numFmtId="0" fontId="0" fillId="0" borderId="2" xfId="0" applyBorder="1"/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1" fontId="1" fillId="0" borderId="0" xfId="0" quotePrefix="1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52"/>
  <sheetViews>
    <sheetView tabSelected="1" zoomScale="130" zoomScaleNormal="130" workbookViewId="0">
      <pane xSplit="2" topLeftCell="L1" activePane="topRight" state="frozen"/>
      <selection activeCell="A19" sqref="A19"/>
      <selection pane="topRight" activeCell="P26" sqref="P26"/>
    </sheetView>
  </sheetViews>
  <sheetFormatPr baseColWidth="10" defaultRowHeight="14.5" x14ac:dyDescent="0.35"/>
  <cols>
    <col min="1" max="1" width="2" bestFit="1" customWidth="1"/>
    <col min="2" max="2" width="67.81640625" bestFit="1" customWidth="1"/>
    <col min="3" max="3" width="10.453125" style="5" bestFit="1" customWidth="1"/>
    <col min="4" max="6" width="10.453125" style="5" customWidth="1"/>
    <col min="7" max="7" width="10.453125" style="5" bestFit="1" customWidth="1"/>
    <col min="8" max="11" width="11.453125" style="2"/>
  </cols>
  <sheetData>
    <row r="2" spans="1:17" x14ac:dyDescent="0.35">
      <c r="C2" s="4" t="s">
        <v>53</v>
      </c>
      <c r="D2" s="4">
        <v>2025</v>
      </c>
      <c r="E2" s="15" t="s">
        <v>54</v>
      </c>
      <c r="F2" s="4">
        <v>2024</v>
      </c>
      <c r="G2" s="4" t="s">
        <v>4</v>
      </c>
      <c r="H2" s="4">
        <v>2023</v>
      </c>
      <c r="I2" s="4" t="s">
        <v>40</v>
      </c>
      <c r="J2" s="4">
        <v>2022</v>
      </c>
      <c r="K2" s="4" t="s">
        <v>41</v>
      </c>
      <c r="L2" s="4">
        <v>2021</v>
      </c>
      <c r="M2" s="15" t="s">
        <v>55</v>
      </c>
      <c r="N2" s="4">
        <v>2020</v>
      </c>
      <c r="O2" s="4">
        <v>2019</v>
      </c>
      <c r="P2" s="4">
        <v>2018</v>
      </c>
      <c r="Q2" s="4" t="s">
        <v>51</v>
      </c>
    </row>
    <row r="3" spans="1:17" x14ac:dyDescent="0.35">
      <c r="C3" s="4" t="s">
        <v>44</v>
      </c>
      <c r="D3" s="4" t="s">
        <v>42</v>
      </c>
      <c r="E3" s="4" t="s">
        <v>44</v>
      </c>
      <c r="F3" s="4" t="s">
        <v>42</v>
      </c>
      <c r="G3" s="4" t="s">
        <v>45</v>
      </c>
      <c r="H3" s="4" t="s">
        <v>42</v>
      </c>
      <c r="I3" s="4" t="s">
        <v>45</v>
      </c>
      <c r="J3" s="4" t="s">
        <v>45</v>
      </c>
      <c r="K3" s="4" t="s">
        <v>42</v>
      </c>
      <c r="L3" s="4" t="s">
        <v>44</v>
      </c>
      <c r="M3" s="4" t="s">
        <v>52</v>
      </c>
      <c r="N3" s="4" t="s">
        <v>42</v>
      </c>
      <c r="O3" s="4" t="s">
        <v>45</v>
      </c>
      <c r="P3" s="4" t="s">
        <v>42</v>
      </c>
      <c r="Q3" s="4" t="s">
        <v>52</v>
      </c>
    </row>
    <row r="4" spans="1:17" x14ac:dyDescent="0.35">
      <c r="B4" t="s">
        <v>0</v>
      </c>
      <c r="C4" s="12">
        <v>520950</v>
      </c>
      <c r="D4" s="12">
        <v>209730</v>
      </c>
      <c r="E4" s="12">
        <v>372787</v>
      </c>
      <c r="F4" s="12">
        <v>66578</v>
      </c>
      <c r="G4" s="12">
        <v>25317</v>
      </c>
      <c r="H4" s="12">
        <v>257453</v>
      </c>
      <c r="I4" s="12">
        <v>99055</v>
      </c>
      <c r="J4" s="12">
        <v>46366</v>
      </c>
      <c r="K4" s="12">
        <v>39147</v>
      </c>
      <c r="L4" s="12">
        <v>56345</v>
      </c>
      <c r="M4" s="12">
        <v>175000</v>
      </c>
      <c r="N4" s="12">
        <v>289500</v>
      </c>
      <c r="O4" s="12">
        <v>169000</v>
      </c>
      <c r="P4" s="12">
        <v>345000</v>
      </c>
      <c r="Q4" s="12">
        <v>1800000</v>
      </c>
    </row>
    <row r="5" spans="1:17" x14ac:dyDescent="0.35">
      <c r="A5" s="1" t="s">
        <v>2</v>
      </c>
      <c r="B5" t="s">
        <v>56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>
        <v>36643</v>
      </c>
      <c r="N5" s="12"/>
      <c r="O5" s="12"/>
      <c r="P5" s="12"/>
      <c r="Q5" s="12"/>
    </row>
    <row r="6" spans="1:17" x14ac:dyDescent="0.35">
      <c r="A6" s="1" t="s">
        <v>2</v>
      </c>
      <c r="B6" t="s">
        <v>57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>
        <v>2181</v>
      </c>
      <c r="N6" s="12"/>
      <c r="O6" s="12"/>
      <c r="P6" s="12"/>
      <c r="Q6" s="12"/>
    </row>
    <row r="7" spans="1:17" x14ac:dyDescent="0.35">
      <c r="A7" s="1" t="s">
        <v>2</v>
      </c>
      <c r="B7" t="s">
        <v>5</v>
      </c>
      <c r="C7" s="12">
        <f>-97423+97423</f>
        <v>0</v>
      </c>
      <c r="D7" s="12">
        <v>30000</v>
      </c>
      <c r="E7" s="12">
        <v>42000</v>
      </c>
      <c r="F7" s="12">
        <v>5000</v>
      </c>
      <c r="G7" s="12">
        <f>1200*4</f>
        <v>4800</v>
      </c>
      <c r="H7" s="12">
        <v>27000</v>
      </c>
      <c r="I7" s="12">
        <v>15000</v>
      </c>
      <c r="J7" s="12">
        <v>5800</v>
      </c>
      <c r="K7" s="12">
        <v>35400</v>
      </c>
      <c r="L7" s="12">
        <v>16440</v>
      </c>
      <c r="M7" s="12">
        <v>30000</v>
      </c>
      <c r="N7" s="12">
        <v>35000</v>
      </c>
      <c r="O7" s="12">
        <v>35000</v>
      </c>
      <c r="P7" s="12">
        <v>40000</v>
      </c>
      <c r="Q7" s="12"/>
    </row>
    <row r="8" spans="1:17" x14ac:dyDescent="0.35">
      <c r="A8" s="1" t="s">
        <v>6</v>
      </c>
      <c r="B8" t="s">
        <v>46</v>
      </c>
      <c r="C8" s="12"/>
      <c r="D8" s="12"/>
      <c r="E8" s="12"/>
      <c r="F8" s="12"/>
      <c r="G8" s="12"/>
      <c r="H8" s="12"/>
      <c r="I8" s="12"/>
      <c r="J8" s="12"/>
      <c r="K8" s="12"/>
      <c r="L8" s="12">
        <v>-8784</v>
      </c>
      <c r="M8" s="12"/>
      <c r="N8" s="12"/>
      <c r="O8" s="12">
        <v>-2500</v>
      </c>
      <c r="P8" s="12"/>
      <c r="Q8" s="12"/>
    </row>
    <row r="9" spans="1:17" x14ac:dyDescent="0.35">
      <c r="A9" s="1" t="s">
        <v>2</v>
      </c>
      <c r="B9" t="s">
        <v>58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>
        <v>10000</v>
      </c>
      <c r="N9" s="12"/>
      <c r="O9" s="12"/>
      <c r="P9" s="12"/>
      <c r="Q9" s="12"/>
    </row>
    <row r="10" spans="1:17" x14ac:dyDescent="0.35">
      <c r="A10" s="1" t="s">
        <v>2</v>
      </c>
      <c r="B10" t="s">
        <v>1</v>
      </c>
      <c r="C10" s="12"/>
      <c r="D10" s="12"/>
      <c r="E10" s="12"/>
      <c r="F10" s="12"/>
      <c r="G10" s="12"/>
      <c r="H10" s="12"/>
      <c r="I10" s="12"/>
      <c r="J10" s="12"/>
      <c r="K10" s="12"/>
      <c r="L10" s="12">
        <f>+(1985-955)*0.3+955</f>
        <v>1264</v>
      </c>
      <c r="M10" s="12"/>
      <c r="N10" s="12"/>
      <c r="O10" s="12"/>
      <c r="P10" s="12"/>
      <c r="Q10" s="12"/>
    </row>
    <row r="11" spans="1:17" x14ac:dyDescent="0.35">
      <c r="A11" s="1" t="s">
        <v>2</v>
      </c>
      <c r="B11" t="s">
        <v>47</v>
      </c>
      <c r="C11" s="12"/>
      <c r="D11" s="12"/>
      <c r="E11" s="12"/>
      <c r="F11" s="12"/>
      <c r="G11" s="12"/>
      <c r="H11" s="12"/>
      <c r="I11" s="12"/>
      <c r="J11" s="12"/>
      <c r="K11" s="12"/>
      <c r="L11" s="12">
        <v>4500</v>
      </c>
      <c r="M11" s="12">
        <v>1000</v>
      </c>
      <c r="N11" s="12"/>
      <c r="O11" s="12">
        <v>1200</v>
      </c>
      <c r="P11" s="12"/>
      <c r="Q11" s="12"/>
    </row>
    <row r="12" spans="1:17" x14ac:dyDescent="0.35">
      <c r="A12" s="1" t="s">
        <v>2</v>
      </c>
      <c r="B12" t="s">
        <v>61</v>
      </c>
      <c r="C12" s="12"/>
      <c r="D12" s="12"/>
      <c r="E12" s="12"/>
      <c r="F12" s="12">
        <v>350</v>
      </c>
      <c r="G12" s="12"/>
      <c r="H12" s="12"/>
      <c r="I12" s="12"/>
      <c r="J12" s="12"/>
      <c r="K12" s="12"/>
      <c r="L12" s="12">
        <v>2000</v>
      </c>
      <c r="M12" s="12">
        <v>3000</v>
      </c>
      <c r="N12" s="12"/>
      <c r="O12" s="12">
        <v>7500</v>
      </c>
      <c r="P12" s="12"/>
      <c r="Q12" s="12"/>
    </row>
    <row r="13" spans="1:17" x14ac:dyDescent="0.35">
      <c r="A13" s="1" t="s">
        <v>2</v>
      </c>
      <c r="B13" t="s">
        <v>48</v>
      </c>
      <c r="C13" s="12">
        <f>6400*12</f>
        <v>76800</v>
      </c>
      <c r="D13" s="12"/>
      <c r="E13" s="12"/>
      <c r="F13" s="12"/>
      <c r="G13" s="12"/>
      <c r="H13" s="12">
        <f>54000*2</f>
        <v>108000</v>
      </c>
      <c r="I13" s="12"/>
      <c r="J13" s="12"/>
      <c r="K13" s="12">
        <f>6000*3*12</f>
        <v>216000</v>
      </c>
      <c r="L13" s="12">
        <v>69000</v>
      </c>
      <c r="M13" s="12"/>
      <c r="N13" s="12">
        <f>8000*12</f>
        <v>96000</v>
      </c>
      <c r="O13" s="12"/>
      <c r="P13" s="12">
        <f>5000*12</f>
        <v>60000</v>
      </c>
      <c r="Q13" s="12"/>
    </row>
    <row r="14" spans="1:17" x14ac:dyDescent="0.35">
      <c r="A14" s="1" t="s">
        <v>2</v>
      </c>
      <c r="B14" t="s">
        <v>49</v>
      </c>
      <c r="C14" s="12"/>
      <c r="D14" s="12"/>
      <c r="E14" s="12"/>
      <c r="F14" s="12"/>
      <c r="G14" s="12"/>
      <c r="H14" s="12">
        <f>100000*0.03</f>
        <v>3000</v>
      </c>
      <c r="I14" s="12"/>
      <c r="J14" s="12"/>
      <c r="K14" s="12"/>
      <c r="L14" s="12">
        <f>300000*0.027</f>
        <v>8100</v>
      </c>
      <c r="M14" s="12"/>
      <c r="N14" s="12"/>
      <c r="O14" s="12"/>
      <c r="P14" s="12">
        <v>9080</v>
      </c>
      <c r="Q14" s="12"/>
    </row>
    <row r="15" spans="1:17" x14ac:dyDescent="0.35">
      <c r="A15" s="1" t="s">
        <v>2</v>
      </c>
      <c r="B15" t="s">
        <v>50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24000</v>
      </c>
      <c r="O15" s="12"/>
      <c r="P15" s="12"/>
      <c r="Q15" s="12"/>
    </row>
    <row r="16" spans="1:17" x14ac:dyDescent="0.35">
      <c r="A16" s="1" t="s">
        <v>2</v>
      </c>
      <c r="B16" t="s">
        <v>7</v>
      </c>
      <c r="C16" s="12"/>
      <c r="D16" s="12"/>
      <c r="E16" s="12"/>
      <c r="F16" s="12"/>
      <c r="G16" s="12">
        <f>2500*12</f>
        <v>30000</v>
      </c>
      <c r="H16" s="12"/>
      <c r="I16" s="12"/>
      <c r="J16" s="12">
        <v>7584</v>
      </c>
      <c r="K16" s="12"/>
      <c r="L16" s="12"/>
      <c r="M16" s="12"/>
      <c r="N16" s="12"/>
      <c r="O16" s="12"/>
      <c r="P16" s="12"/>
      <c r="Q16" s="12"/>
    </row>
    <row r="17" spans="1:17" x14ac:dyDescent="0.35">
      <c r="A17" s="1" t="s">
        <v>6</v>
      </c>
      <c r="B17" t="s">
        <v>33</v>
      </c>
      <c r="C17" s="12">
        <f>(5000000*0.02-5000000*0.02/12*10/12)-24000-12000*8</f>
        <v>-26944.444444444438</v>
      </c>
      <c r="D17" s="12"/>
      <c r="E17" s="12"/>
      <c r="F17" s="12">
        <v>-5000</v>
      </c>
      <c r="G17" s="12">
        <f>-46*6</f>
        <v>-276</v>
      </c>
      <c r="H17" s="12">
        <v>12600</v>
      </c>
      <c r="I17" s="12">
        <f>2540*12</f>
        <v>30480</v>
      </c>
      <c r="J17" s="12">
        <f>4500*12+750</f>
        <v>54750</v>
      </c>
      <c r="K17" s="12">
        <f>-250000*0.048</f>
        <v>-12000</v>
      </c>
      <c r="L17" s="12"/>
      <c r="M17" s="12">
        <v>0</v>
      </c>
      <c r="N17" s="12"/>
      <c r="O17" s="12"/>
      <c r="P17" s="12"/>
      <c r="Q17" s="12"/>
    </row>
    <row r="18" spans="1:17" x14ac:dyDescent="0.35">
      <c r="A18" s="1" t="s">
        <v>6</v>
      </c>
      <c r="B18" t="s">
        <v>47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>
        <v>0</v>
      </c>
      <c r="N18" s="12"/>
      <c r="O18" s="12"/>
      <c r="P18" s="12"/>
      <c r="Q18" s="12"/>
    </row>
    <row r="19" spans="1:17" x14ac:dyDescent="0.35">
      <c r="A19" s="1" t="s">
        <v>6</v>
      </c>
      <c r="B19" t="s">
        <v>60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>
        <f>-M12</f>
        <v>-3000</v>
      </c>
      <c r="N19" s="12"/>
      <c r="O19" s="12"/>
      <c r="P19" s="12"/>
      <c r="Q19" s="12"/>
    </row>
    <row r="20" spans="1:17" ht="15" thickBot="1" x14ac:dyDescent="0.4">
      <c r="A20" s="6" t="s">
        <v>3</v>
      </c>
      <c r="B20" s="7" t="s">
        <v>59</v>
      </c>
      <c r="C20" s="13">
        <f t="shared" ref="C20:L20" si="0">SUM(C4:C19)</f>
        <v>570805.5555555555</v>
      </c>
      <c r="D20" s="13">
        <f t="shared" si="0"/>
        <v>239730</v>
      </c>
      <c r="E20" s="13">
        <f t="shared" si="0"/>
        <v>414787</v>
      </c>
      <c r="F20" s="13">
        <f t="shared" si="0"/>
        <v>66928</v>
      </c>
      <c r="G20" s="13">
        <f t="shared" si="0"/>
        <v>59841</v>
      </c>
      <c r="H20" s="13">
        <f t="shared" si="0"/>
        <v>408053</v>
      </c>
      <c r="I20" s="13">
        <f t="shared" si="0"/>
        <v>144535</v>
      </c>
      <c r="J20" s="13">
        <f t="shared" si="0"/>
        <v>114500</v>
      </c>
      <c r="K20" s="13">
        <f t="shared" si="0"/>
        <v>278547</v>
      </c>
      <c r="L20" s="13">
        <f t="shared" si="0"/>
        <v>148865</v>
      </c>
      <c r="M20" s="13">
        <f>SUM(M4:M19)</f>
        <v>254824</v>
      </c>
      <c r="N20" s="13">
        <f>SUM(N4:N19)</f>
        <v>444500</v>
      </c>
      <c r="O20" s="13">
        <f t="shared" ref="O20:P20" si="1">SUM(O4:O19)</f>
        <v>210200</v>
      </c>
      <c r="P20" s="13">
        <f t="shared" si="1"/>
        <v>454080</v>
      </c>
      <c r="Q20" s="13">
        <f>SUM(Q4:Q19)</f>
        <v>1800000</v>
      </c>
    </row>
    <row r="21" spans="1:17" ht="15" thickTop="1" x14ac:dyDescent="0.35">
      <c r="A21" s="1" t="s">
        <v>2</v>
      </c>
      <c r="B21" t="s">
        <v>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35">
      <c r="B22" t="s">
        <v>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35">
      <c r="B23" t="s">
        <v>10</v>
      </c>
      <c r="C23" s="12">
        <f>(5000000*0.02/12*10/12)+76056</f>
        <v>83000.444444444438</v>
      </c>
      <c r="D23" s="12">
        <f>500000*0.0436</f>
        <v>21800</v>
      </c>
      <c r="E23" s="12">
        <f>3500000*0.06*0.916666666666667</f>
        <v>192500.00000000006</v>
      </c>
      <c r="F23" s="12"/>
      <c r="G23" s="12">
        <f>100000*0.073</f>
        <v>7299.9999999999991</v>
      </c>
      <c r="H23" s="12"/>
      <c r="I23" s="12">
        <f>7140/1.19*0.045*6/12</f>
        <v>135</v>
      </c>
      <c r="J23" s="12"/>
      <c r="K23" s="12">
        <f>250000*0.048</f>
        <v>12000</v>
      </c>
      <c r="L23" s="12"/>
      <c r="M23" s="12">
        <v>120000</v>
      </c>
      <c r="N23" s="12">
        <v>8300</v>
      </c>
      <c r="O23" s="12"/>
      <c r="P23" s="12">
        <v>25000</v>
      </c>
      <c r="Q23" s="12">
        <f>15000+230000</f>
        <v>245000</v>
      </c>
    </row>
    <row r="24" spans="1:17" x14ac:dyDescent="0.35">
      <c r="B24" t="s">
        <v>34</v>
      </c>
      <c r="C24" s="12"/>
      <c r="D24" s="12"/>
      <c r="E24" s="12"/>
      <c r="F24" s="12"/>
      <c r="G24" s="12"/>
      <c r="H24" s="12">
        <v>2590</v>
      </c>
      <c r="I24" s="12"/>
      <c r="J24" s="12"/>
      <c r="K24" s="12"/>
      <c r="L24" s="12"/>
      <c r="M24" s="12">
        <v>5000</v>
      </c>
      <c r="N24" s="12">
        <v>25000</v>
      </c>
      <c r="O24" s="12">
        <v>3750</v>
      </c>
      <c r="P24" s="12">
        <v>3000</v>
      </c>
      <c r="Q24" s="12"/>
    </row>
    <row r="25" spans="1:17" x14ac:dyDescent="0.35">
      <c r="B25" t="s">
        <v>11</v>
      </c>
      <c r="C25" s="12">
        <f>24000*0.2+8*12000*0.2</f>
        <v>24000</v>
      </c>
      <c r="D25" s="12"/>
      <c r="E25" s="12"/>
      <c r="F25" s="12">
        <f>400*12*0.2</f>
        <v>960</v>
      </c>
      <c r="G25" s="12">
        <f>520*12*0.2</f>
        <v>1248</v>
      </c>
      <c r="H25" s="12"/>
      <c r="I25" s="12">
        <f>2500*12*0.2</f>
        <v>6000</v>
      </c>
      <c r="J25" s="12"/>
      <c r="K25" s="12">
        <f>14400*0.2</f>
        <v>2880</v>
      </c>
      <c r="L25" s="12"/>
      <c r="M25" s="12">
        <f>20000*0.2</f>
        <v>4000</v>
      </c>
      <c r="N25" s="12">
        <f>7500*0.2</f>
        <v>1500</v>
      </c>
      <c r="O25" s="12"/>
      <c r="P25" s="12">
        <f>36000*0.2</f>
        <v>7200</v>
      </c>
      <c r="Q25" s="12">
        <f>60000*0.2</f>
        <v>12000</v>
      </c>
    </row>
    <row r="26" spans="1:17" x14ac:dyDescent="0.35">
      <c r="B26" t="s">
        <v>12</v>
      </c>
      <c r="C26" s="12">
        <f>250000*0.5</f>
        <v>125000</v>
      </c>
      <c r="D26" s="12">
        <f>72000*0.5</f>
        <v>36000</v>
      </c>
      <c r="E26" s="12">
        <f>96800*0.5</f>
        <v>48400</v>
      </c>
      <c r="F26" s="12">
        <f>4500*12*0.5</f>
        <v>27000</v>
      </c>
      <c r="G26" s="12">
        <f>600*12*0.5</f>
        <v>3600</v>
      </c>
      <c r="H26" s="12">
        <f>3570/1.19*12*0.5</f>
        <v>18000</v>
      </c>
      <c r="I26" s="12">
        <f>1600*12*0.5</f>
        <v>9600</v>
      </c>
      <c r="J26" s="12"/>
      <c r="K26" s="12">
        <f>8500*12*0.5</f>
        <v>51000</v>
      </c>
      <c r="L26" s="12"/>
      <c r="M26" s="12">
        <f>160000*0.5</f>
        <v>80000</v>
      </c>
      <c r="N26" s="12"/>
      <c r="O26" s="12">
        <f>24000*0.2</f>
        <v>4800</v>
      </c>
      <c r="P26" s="12">
        <f>750*5*0.5</f>
        <v>1875</v>
      </c>
      <c r="Q26" s="12">
        <f>80000*0.5</f>
        <v>40000</v>
      </c>
    </row>
    <row r="27" spans="1:17" x14ac:dyDescent="0.35">
      <c r="B27" t="s">
        <v>13</v>
      </c>
      <c r="C27" s="12">
        <f t="shared" ref="C27:Q27" si="2">SUM(C23:C26)</f>
        <v>232000.44444444444</v>
      </c>
      <c r="D27" s="12">
        <f t="shared" si="2"/>
        <v>57800</v>
      </c>
      <c r="E27" s="12">
        <f t="shared" si="2"/>
        <v>240900.00000000006</v>
      </c>
      <c r="F27" s="12"/>
      <c r="G27" s="12">
        <f t="shared" si="2"/>
        <v>12148</v>
      </c>
      <c r="H27" s="12">
        <f t="shared" si="2"/>
        <v>20590</v>
      </c>
      <c r="I27" s="12">
        <f t="shared" si="2"/>
        <v>15735</v>
      </c>
      <c r="J27" s="12">
        <f t="shared" si="2"/>
        <v>0</v>
      </c>
      <c r="K27" s="12">
        <f t="shared" si="2"/>
        <v>65880</v>
      </c>
      <c r="L27" s="12">
        <f t="shared" si="2"/>
        <v>0</v>
      </c>
      <c r="M27" s="12">
        <f>SUM(M23:M26)</f>
        <v>209000</v>
      </c>
      <c r="N27" s="12">
        <f t="shared" si="2"/>
        <v>34800</v>
      </c>
      <c r="O27" s="12">
        <f t="shared" si="2"/>
        <v>8550</v>
      </c>
      <c r="P27" s="12">
        <f t="shared" si="2"/>
        <v>37075</v>
      </c>
      <c r="Q27" s="12">
        <f t="shared" si="2"/>
        <v>297000</v>
      </c>
    </row>
    <row r="28" spans="1:17" x14ac:dyDescent="0.35">
      <c r="B28" t="s">
        <v>14</v>
      </c>
      <c r="C28" s="12">
        <v>-200000</v>
      </c>
      <c r="D28" s="12">
        <v>-200000</v>
      </c>
      <c r="E28" s="12">
        <v>-200000</v>
      </c>
      <c r="F28" s="12">
        <v>-200000</v>
      </c>
      <c r="G28" s="12">
        <v>-200000</v>
      </c>
      <c r="H28" s="12">
        <v>-200000</v>
      </c>
      <c r="I28" s="12">
        <v>-200000</v>
      </c>
      <c r="J28" s="12">
        <v>-200000</v>
      </c>
      <c r="K28" s="12">
        <v>-200000</v>
      </c>
      <c r="L28" s="12">
        <v>-200000</v>
      </c>
      <c r="M28" s="12">
        <v>-200000</v>
      </c>
      <c r="N28" s="12">
        <v>-200000</v>
      </c>
      <c r="O28" s="12">
        <v>-200000</v>
      </c>
      <c r="P28" s="12">
        <v>-200000</v>
      </c>
      <c r="Q28" s="12">
        <v>-200000</v>
      </c>
    </row>
    <row r="29" spans="1:17" x14ac:dyDescent="0.35">
      <c r="B29" t="s">
        <v>15</v>
      </c>
      <c r="C29" s="12">
        <f>+C27+C28</f>
        <v>32000.444444444438</v>
      </c>
      <c r="D29" s="12">
        <v>0</v>
      </c>
      <c r="E29" s="12">
        <f>+E27+E28</f>
        <v>40900.000000000058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f>+M27+M28</f>
        <v>9000</v>
      </c>
      <c r="N29" s="12">
        <v>0</v>
      </c>
      <c r="O29" s="12">
        <v>0</v>
      </c>
      <c r="P29" s="12">
        <v>0</v>
      </c>
      <c r="Q29" s="12">
        <f>+Q27+Q28</f>
        <v>97000</v>
      </c>
    </row>
    <row r="30" spans="1:17" x14ac:dyDescent="0.35">
      <c r="B30" t="s">
        <v>16</v>
      </c>
      <c r="C30" s="12">
        <f>+C29*0.25</f>
        <v>8000.1111111111095</v>
      </c>
      <c r="D30" s="12"/>
      <c r="E30" s="12">
        <f>+E29*0.25</f>
        <v>10225.000000000015</v>
      </c>
      <c r="F30" s="12"/>
      <c r="G30" s="12"/>
      <c r="H30" s="12"/>
      <c r="I30" s="12"/>
      <c r="J30" s="12"/>
      <c r="K30" s="12"/>
      <c r="L30" s="12"/>
      <c r="M30" s="12">
        <f>+M29*0.25</f>
        <v>2250</v>
      </c>
      <c r="N30" s="12"/>
      <c r="O30" s="12"/>
      <c r="P30" s="12"/>
      <c r="Q30" s="12">
        <f>+Q29*0.25</f>
        <v>24250</v>
      </c>
    </row>
    <row r="31" spans="1:17" x14ac:dyDescent="0.35">
      <c r="B31" t="s">
        <v>38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>
        <v>3000</v>
      </c>
      <c r="Q31" s="12"/>
    </row>
    <row r="32" spans="1:17" x14ac:dyDescent="0.35">
      <c r="B32" t="s">
        <v>39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>
        <f>-M19</f>
        <v>3000</v>
      </c>
      <c r="N32" s="12"/>
      <c r="O32" s="12"/>
      <c r="P32" s="12"/>
      <c r="Q32" s="12">
        <v>4000</v>
      </c>
    </row>
    <row r="33" spans="1:17" x14ac:dyDescent="0.35">
      <c r="A33" s="1" t="s">
        <v>6</v>
      </c>
      <c r="B33" t="s">
        <v>17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x14ac:dyDescent="0.35">
      <c r="A34" s="1"/>
      <c r="B34" t="s">
        <v>35</v>
      </c>
      <c r="C34" s="12"/>
      <c r="D34" s="12"/>
      <c r="E34" s="12"/>
      <c r="F34" s="12"/>
      <c r="G34" s="12"/>
      <c r="H34" s="12">
        <v>-3528</v>
      </c>
      <c r="I34" s="12"/>
      <c r="J34" s="12">
        <f>-4*903</f>
        <v>-3612</v>
      </c>
      <c r="K34" s="12"/>
      <c r="L34" s="12">
        <v>-2100</v>
      </c>
      <c r="M34" s="12"/>
      <c r="N34" s="12">
        <v>-2016</v>
      </c>
      <c r="O34" s="12">
        <v>-1680</v>
      </c>
      <c r="P34" s="12"/>
      <c r="Q34" s="12">
        <f>-420*4</f>
        <v>-1680</v>
      </c>
    </row>
    <row r="35" spans="1:17" x14ac:dyDescent="0.35">
      <c r="A35" s="1"/>
      <c r="B35" t="s">
        <v>36</v>
      </c>
      <c r="C35" s="12"/>
      <c r="D35" s="12"/>
      <c r="E35" s="12"/>
      <c r="F35" s="12"/>
      <c r="G35" s="12"/>
      <c r="H35" s="12"/>
      <c r="I35" s="12"/>
      <c r="J35" s="12">
        <v>-7584</v>
      </c>
      <c r="K35" s="12"/>
      <c r="L35" s="12">
        <v>-13256</v>
      </c>
      <c r="M35" s="12"/>
      <c r="N35" s="12"/>
      <c r="O35" s="12">
        <v>-6000</v>
      </c>
      <c r="P35" s="12"/>
      <c r="Q35" s="12"/>
    </row>
    <row r="36" spans="1:17" x14ac:dyDescent="0.35">
      <c r="A36" s="1"/>
      <c r="B36" s="3" t="s">
        <v>37</v>
      </c>
      <c r="C36" s="12"/>
      <c r="D36" s="12"/>
      <c r="E36" s="12">
        <v>500</v>
      </c>
      <c r="F36" s="12">
        <f>-F12</f>
        <v>-350</v>
      </c>
      <c r="G36" s="12"/>
      <c r="H36" s="12"/>
      <c r="I36" s="12"/>
      <c r="J36" s="12">
        <v>-750</v>
      </c>
      <c r="K36" s="12"/>
      <c r="L36" s="12">
        <v>-2000</v>
      </c>
      <c r="M36" s="12">
        <f>-M32</f>
        <v>-3000</v>
      </c>
      <c r="N36" s="12"/>
      <c r="O36" s="12">
        <v>-7500</v>
      </c>
      <c r="P36" s="12"/>
      <c r="Q36" s="12">
        <v>-4000</v>
      </c>
    </row>
    <row r="37" spans="1:17" ht="15" thickBot="1" x14ac:dyDescent="0.4">
      <c r="A37" s="6" t="s">
        <v>3</v>
      </c>
      <c r="B37" s="7" t="s">
        <v>18</v>
      </c>
      <c r="C37" s="13">
        <f>+C20+SUM(C30:C32)-SUM(C34:C36)</f>
        <v>578805.66666666663</v>
      </c>
      <c r="D37" s="13">
        <f>+D20+SUM(D30:D32)-SUM(D34:D36)</f>
        <v>239730</v>
      </c>
      <c r="E37" s="13">
        <f>+E20+SUM(E30:E32)-SUM(E34:E36)</f>
        <v>424512</v>
      </c>
      <c r="F37" s="13">
        <f t="shared" ref="F37:Q37" si="3">+F20+SUM(F30:F32)+SUM(F34:F36)</f>
        <v>66578</v>
      </c>
      <c r="G37" s="13">
        <f t="shared" si="3"/>
        <v>59841</v>
      </c>
      <c r="H37" s="13">
        <f t="shared" si="3"/>
        <v>404525</v>
      </c>
      <c r="I37" s="13">
        <f t="shared" si="3"/>
        <v>144535</v>
      </c>
      <c r="J37" s="13">
        <f t="shared" si="3"/>
        <v>102554</v>
      </c>
      <c r="K37" s="13">
        <f t="shared" si="3"/>
        <v>278547</v>
      </c>
      <c r="L37" s="13">
        <f t="shared" si="3"/>
        <v>131509</v>
      </c>
      <c r="M37" s="13">
        <f>+M20+SUM(M30:M32)+SUM(M34:M36)</f>
        <v>257074</v>
      </c>
      <c r="N37" s="13">
        <f t="shared" si="3"/>
        <v>442484</v>
      </c>
      <c r="O37" s="13">
        <f t="shared" si="3"/>
        <v>195020</v>
      </c>
      <c r="P37" s="13">
        <f t="shared" si="3"/>
        <v>457080</v>
      </c>
      <c r="Q37" s="13">
        <f t="shared" si="3"/>
        <v>1822570</v>
      </c>
    </row>
    <row r="38" spans="1:17" ht="15" thickTop="1" x14ac:dyDescent="0.35">
      <c r="A38" s="1" t="s">
        <v>6</v>
      </c>
      <c r="B38" t="s">
        <v>19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x14ac:dyDescent="0.35">
      <c r="B39" t="s">
        <v>20</v>
      </c>
      <c r="C39" s="12"/>
      <c r="D39" s="12"/>
      <c r="E39" s="12"/>
      <c r="F39" s="12"/>
      <c r="G39" s="12">
        <v>-5376</v>
      </c>
      <c r="H39" s="12"/>
      <c r="I39" s="12"/>
      <c r="J39" s="12"/>
      <c r="K39" s="12"/>
      <c r="L39" s="12"/>
      <c r="M39" s="12"/>
      <c r="N39" s="12"/>
      <c r="O39" s="12"/>
      <c r="P39" s="12"/>
      <c r="Q39" s="12">
        <v>-230000</v>
      </c>
    </row>
    <row r="40" spans="1:17" x14ac:dyDescent="0.35">
      <c r="B40" t="s">
        <v>21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5" thickBot="1" x14ac:dyDescent="0.4">
      <c r="A41" s="6" t="s">
        <v>3</v>
      </c>
      <c r="B41" s="7" t="s">
        <v>22</v>
      </c>
      <c r="C41" s="13">
        <f t="shared" ref="C41:Q41" si="4">+C37+SUM(C39:C40)</f>
        <v>578805.66666666663</v>
      </c>
      <c r="D41" s="13">
        <f t="shared" si="4"/>
        <v>239730</v>
      </c>
      <c r="E41" s="13">
        <f t="shared" si="4"/>
        <v>424512</v>
      </c>
      <c r="F41" s="13">
        <f t="shared" si="4"/>
        <v>66578</v>
      </c>
      <c r="G41" s="13">
        <f t="shared" si="4"/>
        <v>54465</v>
      </c>
      <c r="H41" s="13">
        <f t="shared" si="4"/>
        <v>404525</v>
      </c>
      <c r="I41" s="13">
        <f t="shared" si="4"/>
        <v>144535</v>
      </c>
      <c r="J41" s="13">
        <f t="shared" si="4"/>
        <v>102554</v>
      </c>
      <c r="K41" s="13">
        <f t="shared" si="4"/>
        <v>278547</v>
      </c>
      <c r="L41" s="13">
        <f t="shared" si="4"/>
        <v>131509</v>
      </c>
      <c r="M41" s="13">
        <f>+M37+SUM(M39:M40)</f>
        <v>257074</v>
      </c>
      <c r="N41" s="13">
        <f t="shared" si="4"/>
        <v>442484</v>
      </c>
      <c r="O41" s="13">
        <f t="shared" si="4"/>
        <v>195020</v>
      </c>
      <c r="P41" s="13">
        <f t="shared" si="4"/>
        <v>457080</v>
      </c>
      <c r="Q41" s="13">
        <f t="shared" si="4"/>
        <v>1592570</v>
      </c>
    </row>
    <row r="42" spans="1:17" ht="15" thickTop="1" x14ac:dyDescent="0.35">
      <c r="B42" t="s">
        <v>23</v>
      </c>
      <c r="C42" s="12">
        <v>578800</v>
      </c>
      <c r="D42" s="12">
        <v>239700</v>
      </c>
      <c r="E42" s="12">
        <v>424500</v>
      </c>
      <c r="F42" s="12">
        <v>66500</v>
      </c>
      <c r="G42" s="12">
        <v>54400</v>
      </c>
      <c r="H42" s="12">
        <v>404500</v>
      </c>
      <c r="I42" s="12">
        <v>144500</v>
      </c>
      <c r="J42" s="12">
        <v>102500</v>
      </c>
      <c r="K42" s="12">
        <v>278500</v>
      </c>
      <c r="L42" s="12">
        <v>131500</v>
      </c>
      <c r="M42" s="12">
        <v>257000</v>
      </c>
      <c r="N42" s="12">
        <v>442400</v>
      </c>
      <c r="O42" s="12">
        <v>195000</v>
      </c>
      <c r="P42" s="12">
        <v>457000</v>
      </c>
      <c r="Q42" s="12">
        <v>1592500</v>
      </c>
    </row>
    <row r="43" spans="1:17" x14ac:dyDescent="0.35">
      <c r="A43" s="1" t="s">
        <v>6</v>
      </c>
      <c r="B43" t="s">
        <v>24</v>
      </c>
      <c r="C43" s="12">
        <v>-24500</v>
      </c>
      <c r="D43" s="12">
        <v>-24500</v>
      </c>
      <c r="E43" s="12">
        <v>-24500</v>
      </c>
      <c r="F43" s="12">
        <v>-24500</v>
      </c>
      <c r="G43" s="12">
        <v>-24500</v>
      </c>
      <c r="H43" s="12">
        <v>-24500</v>
      </c>
      <c r="I43" s="12">
        <v>-24500</v>
      </c>
      <c r="J43" s="12">
        <v>-24500</v>
      </c>
      <c r="K43" s="12">
        <v>-24500</v>
      </c>
      <c r="L43" s="12">
        <v>-24500</v>
      </c>
      <c r="M43" s="12">
        <v>0</v>
      </c>
      <c r="N43" s="12">
        <v>-24500</v>
      </c>
      <c r="O43" s="12">
        <v>-24500</v>
      </c>
      <c r="P43" s="12">
        <v>-24500</v>
      </c>
      <c r="Q43" s="12"/>
    </row>
    <row r="44" spans="1:17" ht="15" thickBot="1" x14ac:dyDescent="0.4">
      <c r="A44" s="6" t="s">
        <v>3</v>
      </c>
      <c r="B44" s="7" t="s">
        <v>25</v>
      </c>
      <c r="C44" s="13">
        <f t="shared" ref="C44:Q44" si="5">+C42+C43</f>
        <v>554300</v>
      </c>
      <c r="D44" s="13">
        <f t="shared" si="5"/>
        <v>215200</v>
      </c>
      <c r="E44" s="13">
        <f t="shared" si="5"/>
        <v>400000</v>
      </c>
      <c r="F44" s="13">
        <f t="shared" si="5"/>
        <v>42000</v>
      </c>
      <c r="G44" s="13">
        <f t="shared" si="5"/>
        <v>29900</v>
      </c>
      <c r="H44" s="13">
        <f t="shared" si="5"/>
        <v>380000</v>
      </c>
      <c r="I44" s="13">
        <f t="shared" si="5"/>
        <v>120000</v>
      </c>
      <c r="J44" s="13">
        <f t="shared" si="5"/>
        <v>78000</v>
      </c>
      <c r="K44" s="13">
        <f t="shared" si="5"/>
        <v>254000</v>
      </c>
      <c r="L44" s="13">
        <f t="shared" si="5"/>
        <v>107000</v>
      </c>
      <c r="M44" s="13">
        <f t="shared" si="5"/>
        <v>257000</v>
      </c>
      <c r="N44" s="13">
        <f t="shared" si="5"/>
        <v>417900</v>
      </c>
      <c r="O44" s="13">
        <f t="shared" si="5"/>
        <v>170500</v>
      </c>
      <c r="P44" s="13">
        <f t="shared" si="5"/>
        <v>432500</v>
      </c>
      <c r="Q44" s="13">
        <f t="shared" si="5"/>
        <v>1592500</v>
      </c>
    </row>
    <row r="45" spans="1:17" ht="15" thickTop="1" x14ac:dyDescent="0.35">
      <c r="A45" s="1" t="s">
        <v>27</v>
      </c>
      <c r="B45" t="s">
        <v>26</v>
      </c>
      <c r="C45" s="9">
        <v>3.5000000000000003E-2</v>
      </c>
      <c r="D45" s="9">
        <v>3.5000000000000003E-2</v>
      </c>
      <c r="E45" s="9">
        <v>3.5000000000000003E-2</v>
      </c>
      <c r="F45" s="9">
        <v>3.5000000000000003E-2</v>
      </c>
      <c r="G45" s="9">
        <v>3.5000000000000003E-2</v>
      </c>
      <c r="H45" s="9">
        <v>3.5000000000000003E-2</v>
      </c>
      <c r="I45" s="9">
        <v>3.5000000000000003E-2</v>
      </c>
      <c r="J45" s="9">
        <v>3.5000000000000003E-2</v>
      </c>
      <c r="K45" s="9">
        <v>3.5000000000000003E-2</v>
      </c>
      <c r="L45" s="9">
        <v>3.5000000000000003E-2</v>
      </c>
      <c r="M45" s="9">
        <v>3.5000000000000003E-2</v>
      </c>
      <c r="N45" s="9">
        <v>3.5000000000000003E-2</v>
      </c>
      <c r="O45" s="9">
        <v>3.5000000000000003E-2</v>
      </c>
      <c r="P45" s="9">
        <v>3.5000000000000003E-2</v>
      </c>
      <c r="Q45" s="9">
        <v>3.5000000000000003E-2</v>
      </c>
    </row>
    <row r="46" spans="1:17" ht="15" thickBot="1" x14ac:dyDescent="0.4">
      <c r="A46" s="6" t="s">
        <v>3</v>
      </c>
      <c r="B46" s="7" t="s">
        <v>28</v>
      </c>
      <c r="C46" s="13">
        <f t="shared" ref="C46:Q46" si="6">+C44*C45</f>
        <v>19400.500000000004</v>
      </c>
      <c r="D46" s="13">
        <f t="shared" si="6"/>
        <v>7532.0000000000009</v>
      </c>
      <c r="E46" s="13">
        <f t="shared" si="6"/>
        <v>14000.000000000002</v>
      </c>
      <c r="F46" s="13">
        <f t="shared" si="6"/>
        <v>1470.0000000000002</v>
      </c>
      <c r="G46" s="13">
        <f t="shared" si="6"/>
        <v>1046.5</v>
      </c>
      <c r="H46" s="13">
        <f t="shared" si="6"/>
        <v>13300.000000000002</v>
      </c>
      <c r="I46" s="13">
        <f t="shared" si="6"/>
        <v>4200</v>
      </c>
      <c r="J46" s="13">
        <f t="shared" si="6"/>
        <v>2730.0000000000005</v>
      </c>
      <c r="K46" s="13">
        <f t="shared" si="6"/>
        <v>8890</v>
      </c>
      <c r="L46" s="13">
        <f t="shared" si="6"/>
        <v>3745.0000000000005</v>
      </c>
      <c r="M46" s="13">
        <f t="shared" si="6"/>
        <v>8995</v>
      </c>
      <c r="N46" s="13">
        <f t="shared" si="6"/>
        <v>14626.500000000002</v>
      </c>
      <c r="O46" s="13">
        <f t="shared" si="6"/>
        <v>5967.5000000000009</v>
      </c>
      <c r="P46" s="13">
        <f t="shared" si="6"/>
        <v>15137.500000000002</v>
      </c>
      <c r="Q46" s="13">
        <f t="shared" si="6"/>
        <v>55737.500000000007</v>
      </c>
    </row>
    <row r="47" spans="1:17" ht="15" thickTop="1" x14ac:dyDescent="0.35">
      <c r="A47" s="1" t="s">
        <v>27</v>
      </c>
      <c r="B47" t="s">
        <v>29</v>
      </c>
      <c r="C47" s="8">
        <v>4.5</v>
      </c>
      <c r="D47" s="8"/>
      <c r="E47" s="8"/>
      <c r="F47" s="8">
        <v>4.0999999999999996</v>
      </c>
      <c r="G47" s="8">
        <v>4.5</v>
      </c>
      <c r="H47" s="8">
        <v>3.1</v>
      </c>
      <c r="I47" s="8">
        <v>4.55</v>
      </c>
      <c r="J47" s="8">
        <v>4.5999999999999996</v>
      </c>
      <c r="K47" s="8">
        <v>4.9000000000000004</v>
      </c>
      <c r="L47" s="8">
        <v>4.8</v>
      </c>
      <c r="M47" s="8">
        <v>4.67</v>
      </c>
      <c r="N47" s="8">
        <v>4.7</v>
      </c>
      <c r="O47" s="8">
        <v>4.5999999999999996</v>
      </c>
      <c r="P47" s="8">
        <v>4.75</v>
      </c>
      <c r="Q47" s="8"/>
    </row>
    <row r="48" spans="1:17" ht="15" thickBot="1" x14ac:dyDescent="0.4">
      <c r="A48" s="6" t="s">
        <v>3</v>
      </c>
      <c r="B48" s="7" t="s">
        <v>30</v>
      </c>
      <c r="C48" s="13">
        <f>+C46*C47</f>
        <v>87302.250000000015</v>
      </c>
      <c r="D48" s="13"/>
      <c r="E48" s="13"/>
      <c r="F48" s="13">
        <f t="shared" ref="F48:P48" si="7">+F46*F47</f>
        <v>6027</v>
      </c>
      <c r="G48" s="13">
        <f t="shared" si="7"/>
        <v>4709.25</v>
      </c>
      <c r="H48" s="13">
        <f t="shared" si="7"/>
        <v>41230.000000000007</v>
      </c>
      <c r="I48" s="13">
        <f t="shared" si="7"/>
        <v>19110</v>
      </c>
      <c r="J48" s="13">
        <f t="shared" si="7"/>
        <v>12558.000000000002</v>
      </c>
      <c r="K48" s="13">
        <f t="shared" si="7"/>
        <v>43561</v>
      </c>
      <c r="L48" s="13">
        <f t="shared" si="7"/>
        <v>17976</v>
      </c>
      <c r="M48" s="13">
        <f t="shared" si="7"/>
        <v>42006.65</v>
      </c>
      <c r="N48" s="13">
        <f t="shared" si="7"/>
        <v>68744.550000000017</v>
      </c>
      <c r="O48" s="13">
        <f t="shared" si="7"/>
        <v>27450.500000000004</v>
      </c>
      <c r="P48" s="13">
        <f t="shared" si="7"/>
        <v>71903.125000000015</v>
      </c>
      <c r="Q48" s="13"/>
    </row>
    <row r="49" spans="1:17" ht="15" thickTop="1" x14ac:dyDescent="0.35">
      <c r="A49" s="1" t="s">
        <v>6</v>
      </c>
      <c r="B49" t="s">
        <v>31</v>
      </c>
      <c r="C49" s="12">
        <v>-97423</v>
      </c>
      <c r="D49" s="12"/>
      <c r="E49" s="12"/>
      <c r="F49" s="12">
        <f t="shared" ref="F49" si="8">-F7</f>
        <v>-5000</v>
      </c>
      <c r="G49" s="12">
        <f t="shared" ref="G49:P49" si="9">-G7</f>
        <v>-4800</v>
      </c>
      <c r="H49" s="12">
        <f t="shared" si="9"/>
        <v>-27000</v>
      </c>
      <c r="I49" s="12">
        <f t="shared" si="9"/>
        <v>-15000</v>
      </c>
      <c r="J49" s="12">
        <f t="shared" si="9"/>
        <v>-5800</v>
      </c>
      <c r="K49" s="12">
        <f t="shared" si="9"/>
        <v>-35400</v>
      </c>
      <c r="L49" s="12">
        <f t="shared" si="9"/>
        <v>-16440</v>
      </c>
      <c r="M49" s="12">
        <f t="shared" ref="M49" si="10">-M7</f>
        <v>-30000</v>
      </c>
      <c r="N49" s="12">
        <f t="shared" si="9"/>
        <v>-35000</v>
      </c>
      <c r="O49" s="12">
        <f t="shared" si="9"/>
        <v>-35000</v>
      </c>
      <c r="P49" s="12">
        <f t="shared" si="9"/>
        <v>-40000</v>
      </c>
      <c r="Q49" s="12"/>
    </row>
    <row r="50" spans="1:17" x14ac:dyDescent="0.35">
      <c r="A50" s="10" t="s">
        <v>3</v>
      </c>
      <c r="B50" s="11" t="s">
        <v>32</v>
      </c>
      <c r="C50" s="14">
        <f>+C48+C49</f>
        <v>-10120.749999999985</v>
      </c>
      <c r="D50" s="14"/>
      <c r="E50" s="14"/>
      <c r="F50" s="14">
        <f t="shared" ref="F50:P50" si="11">+F48+F49</f>
        <v>1027</v>
      </c>
      <c r="G50" s="14">
        <f t="shared" si="11"/>
        <v>-90.75</v>
      </c>
      <c r="H50" s="14">
        <f t="shared" si="11"/>
        <v>14230.000000000007</v>
      </c>
      <c r="I50" s="14">
        <f t="shared" si="11"/>
        <v>4110</v>
      </c>
      <c r="J50" s="14">
        <f t="shared" si="11"/>
        <v>6758.0000000000018</v>
      </c>
      <c r="K50" s="14">
        <f t="shared" si="11"/>
        <v>8161</v>
      </c>
      <c r="L50" s="14">
        <f t="shared" si="11"/>
        <v>1536</v>
      </c>
      <c r="M50" s="14">
        <f t="shared" si="11"/>
        <v>12006.650000000001</v>
      </c>
      <c r="N50" s="14">
        <f t="shared" si="11"/>
        <v>33744.550000000017</v>
      </c>
      <c r="O50" s="14">
        <f t="shared" si="11"/>
        <v>-7549.4999999999964</v>
      </c>
      <c r="P50" s="14">
        <f t="shared" si="11"/>
        <v>31903.125000000015</v>
      </c>
      <c r="Q50" s="14"/>
    </row>
    <row r="51" spans="1:17" ht="15" thickBot="1" x14ac:dyDescent="0.4">
      <c r="A51" s="6" t="s">
        <v>3</v>
      </c>
      <c r="B51" s="7" t="s">
        <v>43</v>
      </c>
      <c r="C51" s="13"/>
      <c r="D51" s="13"/>
      <c r="E51" s="13"/>
      <c r="F51" s="13"/>
      <c r="G51" s="13"/>
      <c r="H51" s="13"/>
      <c r="I51" s="13"/>
      <c r="J51" s="13"/>
      <c r="K51" s="13">
        <f>+K4+K17-K50</f>
        <v>18986</v>
      </c>
      <c r="L51" s="13"/>
      <c r="M51" s="13"/>
      <c r="N51" s="13"/>
      <c r="O51" s="13"/>
      <c r="P51" s="13"/>
      <c r="Q51" s="13"/>
    </row>
    <row r="52" spans="1:17" ht="15" thickTop="1" x14ac:dyDescent="0.35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G</dc:creator>
  <cp:lastModifiedBy>S G</cp:lastModifiedBy>
  <dcterms:created xsi:type="dcterms:W3CDTF">2026-08-07T10:27:03Z</dcterms:created>
  <dcterms:modified xsi:type="dcterms:W3CDTF">2026-08-18T12:31:56Z</dcterms:modified>
</cp:coreProperties>
</file>