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-GE\Downloads\"/>
    </mc:Choice>
  </mc:AlternateContent>
  <xr:revisionPtr revIDLastSave="0" documentId="13_ncr:1_{C7959B45-06E5-4421-824A-FAAB289C18F1}" xr6:coauthVersionLast="36" xr6:coauthVersionMax="36" xr10:uidLastSave="{00000000-0000-0000-0000-000000000000}"/>
  <bookViews>
    <workbookView xWindow="0" yWindow="0" windowWidth="28800" windowHeight="12960" xr2:uid="{DD136A80-B55C-48D3-96B9-2BEC2C19A8E1}"/>
  </bookViews>
  <sheets>
    <sheet name="Endgültiger Jahresüberschuss" sheetId="1" r:id="rId1"/>
    <sheet name="Zusätzliche Aufgaben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0" i="1" l="1"/>
  <c r="N31" i="1"/>
  <c r="N33" i="1" s="1"/>
  <c r="N35" i="1" s="1"/>
  <c r="N37" i="1" s="1"/>
  <c r="N39" i="1" s="1"/>
  <c r="N42" i="1" s="1"/>
  <c r="N28" i="1"/>
  <c r="N5" i="1"/>
  <c r="F38" i="2"/>
  <c r="F39" i="2" s="1"/>
  <c r="F41" i="2" s="1"/>
  <c r="J42" i="1"/>
  <c r="D42" i="1"/>
  <c r="J41" i="1"/>
  <c r="D41" i="1"/>
  <c r="M40" i="1"/>
  <c r="M5" i="1"/>
  <c r="M28" i="1" s="1"/>
  <c r="M31" i="1" s="1"/>
  <c r="M33" i="1" s="1"/>
  <c r="M35" i="1" s="1"/>
  <c r="M37" i="1" s="1"/>
  <c r="M39" i="1" s="1"/>
  <c r="M42" i="1" s="1"/>
  <c r="M44" i="1" s="1"/>
  <c r="M45" i="1" s="1"/>
  <c r="M4" i="1"/>
  <c r="L40" i="1"/>
  <c r="L28" i="1"/>
  <c r="L31" i="1" s="1"/>
  <c r="L33" i="1" s="1"/>
  <c r="L35" i="1" s="1"/>
  <c r="L37" i="1" s="1"/>
  <c r="L39" i="1" s="1"/>
  <c r="L5" i="1"/>
  <c r="L23" i="1"/>
  <c r="K7" i="1"/>
  <c r="K40" i="1" s="1"/>
  <c r="J40" i="1"/>
  <c r="K4" i="1"/>
  <c r="K5" i="1" s="1"/>
  <c r="D40" i="1"/>
  <c r="I40" i="1"/>
  <c r="J19" i="1"/>
  <c r="J23" i="1"/>
  <c r="J5" i="1"/>
  <c r="J28" i="1" s="1"/>
  <c r="J31" i="1" s="1"/>
  <c r="F34" i="2"/>
  <c r="F23" i="2"/>
  <c r="F22" i="2"/>
  <c r="F4" i="2"/>
  <c r="I5" i="1"/>
  <c r="I28" i="1" s="1"/>
  <c r="I31" i="1" s="1"/>
  <c r="I33" i="1" s="1"/>
  <c r="I35" i="1" s="1"/>
  <c r="I37" i="1" s="1"/>
  <c r="I39" i="1" s="1"/>
  <c r="I42" i="1" s="1"/>
  <c r="I19" i="1"/>
  <c r="H40" i="1"/>
  <c r="H5" i="1"/>
  <c r="H28" i="1" s="1"/>
  <c r="H31" i="1" s="1"/>
  <c r="H33" i="1" s="1"/>
  <c r="H35" i="1" s="1"/>
  <c r="H37" i="1" s="1"/>
  <c r="H39" i="1" s="1"/>
  <c r="N44" i="1" l="1"/>
  <c r="N45" i="1" s="1"/>
  <c r="F42" i="2"/>
  <c r="F43" i="2" s="1"/>
  <c r="H42" i="1"/>
  <c r="L42" i="1"/>
  <c r="L44" i="1" s="1"/>
  <c r="L45" i="1" s="1"/>
  <c r="K28" i="1"/>
  <c r="K31" i="1" s="1"/>
  <c r="K33" i="1" s="1"/>
  <c r="K35" i="1" s="1"/>
  <c r="K37" i="1" s="1"/>
  <c r="K39" i="1" s="1"/>
  <c r="K42" i="1" s="1"/>
  <c r="J33" i="1"/>
  <c r="J35" i="1" s="1"/>
  <c r="J37" i="1" s="1"/>
  <c r="J39" i="1" s="1"/>
  <c r="F5" i="2"/>
  <c r="F7" i="2" s="1"/>
  <c r="F31" i="2" s="1"/>
  <c r="F33" i="2" s="1"/>
  <c r="I44" i="1"/>
  <c r="I45" i="1" s="1"/>
  <c r="F44" i="2" l="1"/>
  <c r="H45" i="1"/>
  <c r="H44" i="1"/>
  <c r="K44" i="1"/>
  <c r="K45" i="1"/>
  <c r="J44" i="1"/>
  <c r="J45" i="1" s="1"/>
  <c r="F16" i="2"/>
  <c r="F20" i="2" s="1"/>
  <c r="F24" i="2" s="1"/>
  <c r="F25" i="2" s="1"/>
  <c r="F8" i="2"/>
  <c r="E14" i="2" l="1"/>
  <c r="F18" i="2" s="1"/>
  <c r="F9" i="2"/>
  <c r="E15" i="2" s="1"/>
  <c r="F19" i="2" s="1"/>
  <c r="F10" i="2" l="1"/>
  <c r="E13" i="2" s="1"/>
  <c r="E30" i="2"/>
  <c r="G15" i="1"/>
  <c r="G5" i="1"/>
  <c r="G40" i="1"/>
  <c r="G19" i="1"/>
  <c r="G23" i="1"/>
  <c r="F8" i="1"/>
  <c r="F7" i="1"/>
  <c r="F40" i="1" s="1"/>
  <c r="F4" i="1"/>
  <c r="F5" i="1" s="1"/>
  <c r="F19" i="1"/>
  <c r="E40" i="1"/>
  <c r="E5" i="1"/>
  <c r="E28" i="1" s="1"/>
  <c r="E31" i="1" s="1"/>
  <c r="E33" i="1" s="1"/>
  <c r="E35" i="1" s="1"/>
  <c r="E37" i="1" s="1"/>
  <c r="E39" i="1" s="1"/>
  <c r="E42" i="1" s="1"/>
  <c r="E23" i="1"/>
  <c r="E19" i="1"/>
  <c r="E14" i="1"/>
  <c r="D25" i="1"/>
  <c r="D15" i="1"/>
  <c r="D14" i="1"/>
  <c r="D28" i="1" s="1"/>
  <c r="D31" i="1" s="1"/>
  <c r="D33" i="1" s="1"/>
  <c r="D35" i="1" s="1"/>
  <c r="D37" i="1" s="1"/>
  <c r="D39" i="1" s="1"/>
  <c r="D23" i="1"/>
  <c r="D5" i="1"/>
  <c r="C40" i="1"/>
  <c r="C23" i="1"/>
  <c r="E29" i="2" l="1"/>
  <c r="G28" i="1"/>
  <c r="G31" i="1" s="1"/>
  <c r="G33" i="1" s="1"/>
  <c r="G35" i="1" s="1"/>
  <c r="G37" i="1" s="1"/>
  <c r="G39" i="1" s="1"/>
  <c r="G42" i="1" s="1"/>
  <c r="G44" i="1" s="1"/>
  <c r="G45" i="1" s="1"/>
  <c r="F28" i="1"/>
  <c r="F31" i="1" s="1"/>
  <c r="F33" i="1" s="1"/>
  <c r="F35" i="1" s="1"/>
  <c r="F37" i="1" s="1"/>
  <c r="F39" i="1" s="1"/>
  <c r="F42" i="1" s="1"/>
  <c r="E44" i="1"/>
  <c r="E45" i="1" s="1"/>
  <c r="C4" i="1"/>
  <c r="C5" i="1" s="1"/>
  <c r="C8" i="1"/>
  <c r="D44" i="1" l="1"/>
  <c r="D45" i="1" s="1"/>
  <c r="F44" i="1"/>
  <c r="F45" i="1"/>
  <c r="C28" i="1"/>
  <c r="C31" i="1" s="1"/>
  <c r="C33" i="1" s="1"/>
  <c r="C35" i="1" s="1"/>
  <c r="C37" i="1" s="1"/>
  <c r="C39" i="1" s="1"/>
  <c r="C42" i="1" s="1"/>
  <c r="C44" i="1" s="1"/>
  <c r="C45" i="1" l="1"/>
</calcChain>
</file>

<file path=xl/sharedStrings.xml><?xml version="1.0" encoding="utf-8"?>
<sst xmlns="http://schemas.openxmlformats.org/spreadsheetml/2006/main" count="129" uniqueCount="90">
  <si>
    <t>Jahresüberschuss/-fehlbetrag lt. HB</t>
  </si>
  <si>
    <t>Ansatz-/Bewertungskorrekturen (§ 5b EStG, § 60 II EStDV)</t>
  </si>
  <si>
    <t>Gewinn/Verlust lt. Steuerbilanz</t>
  </si>
  <si>
    <t>nichtabziehbare Aufwendungen (§ 10 KStG)</t>
  </si>
  <si>
    <t>+/-</t>
  </si>
  <si>
    <t>=</t>
  </si>
  <si>
    <t>+</t>
  </si>
  <si>
    <t>keine BA / Zuwendungen polit. Parteien (§ 8 I KSTG iVm § 4 VI ESTG)</t>
  </si>
  <si>
    <t>Geschenke (§ 4 V Nr. 1 ESTG)</t>
  </si>
  <si>
    <t>Bewirtungskosten (§ 4 V Nr. 2 ESTG)</t>
  </si>
  <si>
    <t>verdeckte Gewinnausschüttungen (§ 8 III 2 KStG)</t>
  </si>
  <si>
    <t>Gesamtbetrag der Zuwendungen (§ 9 II KStG)</t>
  </si>
  <si>
    <t>nicht abzugsfähige Betriebsausgaben (§ 8 I KStG iVm § 4 V EStG)</t>
  </si>
  <si>
    <t>Kapitalertragsteuer (§ 10 Nr. 2 KStG)</t>
  </si>
  <si>
    <t>Soli auf Kapitalertragsteuer (§ 10 Nr. 2 KStG)</t>
  </si>
  <si>
    <t xml:space="preserve">Aufsichtsrat (§ 10 Nr. 4 KStG) </t>
  </si>
  <si>
    <t>steuerfreie Einnahmen (Kürzungen/Hinzurechnungen nach § 8b KStG)</t>
  </si>
  <si>
    <t>steuerlicher Gewinn/Summe der Einkünfte (§ 9 II 1 KStG)</t>
  </si>
  <si>
    <t>Zuwendungen (§ 9 I Nr. 2 KStG)</t>
  </si>
  <si>
    <t>-</t>
  </si>
  <si>
    <t>Gesamtbetrag der Einkünfte (§ 10d EStG)</t>
  </si>
  <si>
    <t>Verlustabzug (§ 10d EStG)</t>
  </si>
  <si>
    <t>Einkommen (§ 8 I KStG)</t>
  </si>
  <si>
    <t>Freibetrag gem. § 24, 25 KStG</t>
  </si>
  <si>
    <t>zu versteuerndes Einkommen (§ 7 II KStG)</t>
  </si>
  <si>
    <t>x</t>
  </si>
  <si>
    <t>tarifliche Körperschaftsteuer</t>
  </si>
  <si>
    <t>festzusetzende Körperschaftsteuer</t>
  </si>
  <si>
    <t>Körperschaftsteuervorauszahlung (§ 31 KStG iVm § 36 II 2 EStG)</t>
  </si>
  <si>
    <t>anzurechnende Steuerabzugsbeträge (z.B. Kapitalertragsteuer)</t>
  </si>
  <si>
    <t>anzurechnende ausländische Steuern (§ 26 KStG)</t>
  </si>
  <si>
    <t>Abschlusszahlung (= Rückstellung) / Erstattung (= sonstige Forderung) KSt</t>
  </si>
  <si>
    <t>Abschlusszahlung (= Rückstellung) / Erstattung (= sonstige Forderung) Soli</t>
  </si>
  <si>
    <t>Soli-Steuersatz</t>
  </si>
  <si>
    <t>KST-Steuersatz (§ 23 KStG)</t>
  </si>
  <si>
    <t>2024/2025</t>
  </si>
  <si>
    <t>Gästehaus (§ 4 V Nr. 3 EStG)</t>
  </si>
  <si>
    <t>steuerfreie Einnahmen (Kürzungen nach § 8b KStG)</t>
  </si>
  <si>
    <t>Endgültiger handelsrechtlicher Jahresüberschuss</t>
  </si>
  <si>
    <t>2023/2024</t>
  </si>
  <si>
    <t>2022/2023</t>
  </si>
  <si>
    <t>Geldbuße (§ 4 V Nr. 8 EStG)</t>
  </si>
  <si>
    <t>Abziehbare Betriebsausgabe / keine Korrektur</t>
  </si>
  <si>
    <t>KST-VZ (§ 10 Nr. 2 KStG)</t>
  </si>
  <si>
    <t>Soli-VZ auf KST (§ 10 Nr. 2 KStG)</t>
  </si>
  <si>
    <t>KST-Erstattung (§ 10 Nr. 2 KStG)</t>
  </si>
  <si>
    <t>Soli-Erstattung auf KST (§ 10 Nr. 2 KStG)</t>
  </si>
  <si>
    <t>DWS-Klausur 2022</t>
  </si>
  <si>
    <t xml:space="preserve">Steuerrechtlicher Gewinn vor Abzug der Steuern </t>
  </si>
  <si>
    <t>Gewerbesteuer</t>
  </si>
  <si>
    <t>Körperschaftsteuer</t>
  </si>
  <si>
    <t>2.213.335 € * 15% =</t>
  </si>
  <si>
    <t>332.000,25 € * 5,5% =</t>
  </si>
  <si>
    <t>Soli auf KST</t>
  </si>
  <si>
    <t>Endgültiger Jahresüberschuss</t>
  </si>
  <si>
    <t>Kapitalertragsteuer</t>
  </si>
  <si>
    <t>Soli auf Kapitalertragsteuer</t>
  </si>
  <si>
    <t>1.462.799,74 € * 25% =</t>
  </si>
  <si>
    <t>365.699,93 € * 5,5% =</t>
  </si>
  <si>
    <t>Auszahlungsbetrag</t>
  </si>
  <si>
    <t>1800 / Bank</t>
  </si>
  <si>
    <t xml:space="preserve">7630 / Kapitalertragsteuer </t>
  </si>
  <si>
    <t>7608 / Solidaritätszuschlag</t>
  </si>
  <si>
    <t>7020 / Dividendenerträge</t>
  </si>
  <si>
    <t>GmbH bekommt die Dividende</t>
  </si>
  <si>
    <t>gewinnmindernd um</t>
  </si>
  <si>
    <t>gewinnerhöhend um</t>
  </si>
  <si>
    <t>Einzelunternehmer bekommt die Dividende</t>
  </si>
  <si>
    <t>2150 / Privatsteuern</t>
  </si>
  <si>
    <t>Gewinnauswirkung HGB:</t>
  </si>
  <si>
    <t>Gewinnauswirkung Steuerrecht:</t>
  </si>
  <si>
    <t>- Beiteligung mindestens 10%</t>
  </si>
  <si>
    <t>außerbilanzielle Hinzurechnung</t>
  </si>
  <si>
    <t>außerbilanzielle Kürzung (100%)</t>
  </si>
  <si>
    <t>außerbilanzielle Hinzurechnung (5%)</t>
  </si>
  <si>
    <t>- Beiteligung unter 10%</t>
  </si>
  <si>
    <t>KEINE KORREKTUREN</t>
  </si>
  <si>
    <t>- Allgemein</t>
  </si>
  <si>
    <t>TEV steuerfrei 40%</t>
  </si>
  <si>
    <t>2021/2022</t>
  </si>
  <si>
    <t>Steuerliche Nebenleistungen KSt (§ 10 Nr. 2 KStG)</t>
  </si>
  <si>
    <t>2020/2021</t>
  </si>
  <si>
    <t>DWS-Klausur 2020</t>
  </si>
  <si>
    <t>225.000 € * 15% =</t>
  </si>
  <si>
    <t>33.750 € * 5,5% =</t>
  </si>
  <si>
    <t>157.493,75 € * 25% =</t>
  </si>
  <si>
    <t>39.373 € * 5,5% =</t>
  </si>
  <si>
    <t>2019/2020</t>
  </si>
  <si>
    <t>keine BA / Gewerbesteuer-VZ (§ 8 I KSTG iVm § 4 Vb ESTG)</t>
  </si>
  <si>
    <t>keine BA / Gewerbesteuer-Erstattung (§ 8 I KSTG iVm § 4 Vb ESTG)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</si>
</sst>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" fontId="1" fillId="0" borderId="0" xfId="0" applyNumberFormat="1" applyFont="1" applyAlignment="1">
      <alignment horizontal="center"/>
    </xf>
    <xf numFmtId="0" fontId="0" fillId="0" borderId="0" xfId="0" quotePrefix="1"/>
    <xf numFmtId="0" fontId="0" fillId="0" borderId="1" xfId="0" quotePrefix="1" applyBorder="1"/>
    <xf numFmtId="0" fontId="0" fillId="0" borderId="1" xfId="0" applyBorder="1"/>
    <xf numFmtId="0" fontId="0" fillId="0" borderId="0" xfId="0" quotePrefix="1" applyFill="1" applyBorder="1"/>
    <xf numFmtId="0" fontId="0" fillId="0" borderId="0" xfId="0" applyFill="1" applyBorder="1"/>
    <xf numFmtId="0" fontId="1" fillId="0" borderId="1" xfId="0" quotePrefix="1" applyFont="1" applyBorder="1"/>
    <xf numFmtId="0" fontId="1" fillId="0" borderId="1" xfId="0" applyFont="1" applyBorder="1"/>
    <xf numFmtId="0" fontId="1" fillId="0" borderId="1" xfId="0" quotePrefix="1" applyFont="1" applyFill="1" applyBorder="1"/>
    <xf numFmtId="0" fontId="1" fillId="0" borderId="1" xfId="0" applyFont="1" applyFill="1" applyBorder="1"/>
    <xf numFmtId="0" fontId="0" fillId="0" borderId="0" xfId="0" applyFont="1" applyFill="1" applyBorder="1"/>
    <xf numFmtId="0" fontId="1" fillId="0" borderId="0" xfId="0" quotePrefix="1" applyFont="1" applyFill="1" applyBorder="1"/>
    <xf numFmtId="0" fontId="0" fillId="0" borderId="0" xfId="0" quotePrefix="1" applyFont="1" applyFill="1" applyBorder="1"/>
    <xf numFmtId="9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" fontId="1" fillId="0" borderId="0" xfId="0" quotePrefix="1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4" fontId="0" fillId="0" borderId="0" xfId="0" applyNumberFormat="1" applyAlignment="1">
      <alignment horizontal="right"/>
    </xf>
    <xf numFmtId="4" fontId="0" fillId="0" borderId="0" xfId="0" applyNumberFormat="1" applyFont="1" applyAlignment="1">
      <alignment horizontal="center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A7EB0-6168-40DD-BD52-6E5632F51818}">
  <dimension ref="A2:N46"/>
  <sheetViews>
    <sheetView tabSelected="1" topLeftCell="B28" zoomScale="115" zoomScaleNormal="115" workbookViewId="0">
      <selection activeCell="N44" sqref="N44"/>
    </sheetView>
  </sheetViews>
  <sheetFormatPr baseColWidth="10" defaultRowHeight="15" x14ac:dyDescent="0.25"/>
  <cols>
    <col min="1" max="1" width="3.5703125" bestFit="1" customWidth="1"/>
    <col min="2" max="2" width="67.28515625" bestFit="1" customWidth="1"/>
    <col min="3" max="3" width="11.5703125" bestFit="1" customWidth="1"/>
    <col min="4" max="4" width="13" bestFit="1" customWidth="1"/>
  </cols>
  <sheetData>
    <row r="2" spans="1:14" x14ac:dyDescent="0.25">
      <c r="C2" s="1">
        <v>2025</v>
      </c>
      <c r="D2" s="1" t="s">
        <v>35</v>
      </c>
      <c r="E2" s="1">
        <v>2024</v>
      </c>
      <c r="F2" s="16" t="s">
        <v>39</v>
      </c>
      <c r="G2" s="16">
        <v>2023</v>
      </c>
      <c r="H2" s="16" t="s">
        <v>40</v>
      </c>
      <c r="I2" s="16">
        <v>2022</v>
      </c>
      <c r="J2" s="16" t="s">
        <v>79</v>
      </c>
      <c r="K2" s="16">
        <v>2021</v>
      </c>
      <c r="L2" s="16" t="s">
        <v>81</v>
      </c>
      <c r="M2" s="16">
        <v>2020</v>
      </c>
      <c r="N2" s="16" t="s">
        <v>87</v>
      </c>
    </row>
    <row r="3" spans="1:14" x14ac:dyDescent="0.25">
      <c r="B3" t="s">
        <v>0</v>
      </c>
      <c r="C3" s="17">
        <v>297525</v>
      </c>
      <c r="D3" s="17">
        <v>2419855</v>
      </c>
      <c r="E3" s="17">
        <v>46264</v>
      </c>
      <c r="F3" s="17">
        <v>185955</v>
      </c>
      <c r="G3" s="17">
        <v>51986</v>
      </c>
      <c r="H3" s="17">
        <v>175440</v>
      </c>
      <c r="I3" s="17">
        <v>85476</v>
      </c>
      <c r="J3" s="17">
        <v>135149</v>
      </c>
      <c r="K3" s="17">
        <v>332155</v>
      </c>
      <c r="L3" s="17">
        <v>124560</v>
      </c>
      <c r="M3" s="17">
        <v>325000</v>
      </c>
      <c r="N3" s="17">
        <v>681450</v>
      </c>
    </row>
    <row r="4" spans="1:14" x14ac:dyDescent="0.25">
      <c r="A4" s="2" t="s">
        <v>4</v>
      </c>
      <c r="B4" t="s">
        <v>1</v>
      </c>
      <c r="C4" s="17">
        <f>3700*4</f>
        <v>14800</v>
      </c>
      <c r="D4" s="17"/>
      <c r="E4" s="17"/>
      <c r="F4" s="17">
        <f>22870-6000-330</f>
        <v>16540</v>
      </c>
      <c r="G4" s="17"/>
      <c r="H4" s="17"/>
      <c r="I4" s="17"/>
      <c r="J4" s="17">
        <v>18782</v>
      </c>
      <c r="K4" s="17">
        <f>50000-(300000/15)</f>
        <v>30000</v>
      </c>
      <c r="L4" s="17">
        <v>51000</v>
      </c>
      <c r="M4" s="17">
        <f>-4000*0.75</f>
        <v>-3000</v>
      </c>
      <c r="N4" s="17">
        <v>20000</v>
      </c>
    </row>
    <row r="5" spans="1:14" ht="15.75" thickBot="1" x14ac:dyDescent="0.3">
      <c r="A5" s="3" t="s">
        <v>5</v>
      </c>
      <c r="B5" s="4" t="s">
        <v>2</v>
      </c>
      <c r="C5" s="18">
        <f>SUM(C3:C4)</f>
        <v>312325</v>
      </c>
      <c r="D5" s="18">
        <f>SUM(D3:D4)</f>
        <v>2419855</v>
      </c>
      <c r="E5" s="18">
        <f>SUM(E3:E4)</f>
        <v>46264</v>
      </c>
      <c r="F5" s="18">
        <f>SUM(F3:F4)</f>
        <v>202495</v>
      </c>
      <c r="G5" s="18">
        <f>SUM(G3:G4)</f>
        <v>51986</v>
      </c>
      <c r="H5" s="18">
        <f>SUM(H3:H4)</f>
        <v>175440</v>
      </c>
      <c r="I5" s="18">
        <f>SUM(I3:I4)</f>
        <v>85476</v>
      </c>
      <c r="J5" s="18">
        <f>SUM(J3:J4)</f>
        <v>153931</v>
      </c>
      <c r="K5" s="18">
        <f>SUM(K3:K4)</f>
        <v>362155</v>
      </c>
      <c r="L5" s="18">
        <f>SUM(L3:L4)</f>
        <v>175560</v>
      </c>
      <c r="M5" s="18">
        <f>SUM(M3:M4)</f>
        <v>322000</v>
      </c>
      <c r="N5" s="18">
        <f>SUM(N3:N4)</f>
        <v>701450</v>
      </c>
    </row>
    <row r="6" spans="1:14" ht="15.75" thickTop="1" x14ac:dyDescent="0.25">
      <c r="A6" s="2" t="s">
        <v>6</v>
      </c>
      <c r="B6" t="s">
        <v>3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x14ac:dyDescent="0.25">
      <c r="B7" t="s">
        <v>43</v>
      </c>
      <c r="C7" s="17">
        <v>45000</v>
      </c>
      <c r="D7" s="17">
        <v>456250</v>
      </c>
      <c r="E7" s="17">
        <v>10000</v>
      </c>
      <c r="F7" s="17">
        <f>30000+6000</f>
        <v>36000</v>
      </c>
      <c r="G7" s="17">
        <v>7000</v>
      </c>
      <c r="H7" s="17">
        <v>27000</v>
      </c>
      <c r="I7" s="17">
        <v>20000</v>
      </c>
      <c r="J7" s="17">
        <v>30000</v>
      </c>
      <c r="K7" s="17">
        <f>43000</f>
        <v>43000</v>
      </c>
      <c r="L7" s="17"/>
      <c r="M7" s="17">
        <v>45000</v>
      </c>
      <c r="N7" s="17">
        <v>150396</v>
      </c>
    </row>
    <row r="8" spans="1:14" x14ac:dyDescent="0.25">
      <c r="B8" t="s">
        <v>44</v>
      </c>
      <c r="C8" s="17">
        <f>+C7*0.055</f>
        <v>2475</v>
      </c>
      <c r="D8" s="17">
        <v>25093.25</v>
      </c>
      <c r="E8" s="17">
        <v>550</v>
      </c>
      <c r="F8" s="17">
        <f>1650+330</f>
        <v>1980</v>
      </c>
      <c r="G8" s="17">
        <v>385</v>
      </c>
      <c r="H8" s="17">
        <v>1485</v>
      </c>
      <c r="I8" s="17">
        <v>1100</v>
      </c>
      <c r="J8" s="17">
        <v>1650</v>
      </c>
      <c r="K8" s="17">
        <v>2365</v>
      </c>
      <c r="L8" s="17"/>
      <c r="M8" s="17">
        <v>2475</v>
      </c>
      <c r="N8" s="17">
        <v>8272</v>
      </c>
    </row>
    <row r="9" spans="1:14" x14ac:dyDescent="0.25">
      <c r="B9" t="s">
        <v>45</v>
      </c>
      <c r="C9" s="17"/>
      <c r="D9" s="17"/>
      <c r="E9" s="17"/>
      <c r="F9" s="17"/>
      <c r="G9" s="17"/>
      <c r="H9" s="17">
        <v>-2400</v>
      </c>
      <c r="I9" s="17"/>
      <c r="J9" s="17">
        <v>-815</v>
      </c>
      <c r="K9" s="17"/>
      <c r="L9" s="17"/>
      <c r="M9" s="17"/>
      <c r="N9" s="17">
        <v>-2600</v>
      </c>
    </row>
    <row r="10" spans="1:14" x14ac:dyDescent="0.25">
      <c r="B10" t="s">
        <v>46</v>
      </c>
      <c r="C10" s="17"/>
      <c r="D10" s="17"/>
      <c r="E10" s="17"/>
      <c r="F10" s="17"/>
      <c r="G10" s="17"/>
      <c r="H10" s="17">
        <v>-132</v>
      </c>
      <c r="I10" s="17"/>
      <c r="J10" s="17"/>
      <c r="K10" s="17"/>
      <c r="L10" s="17"/>
      <c r="M10" s="17"/>
      <c r="N10" s="17">
        <v>-143</v>
      </c>
    </row>
    <row r="11" spans="1:14" x14ac:dyDescent="0.25">
      <c r="B11" t="s">
        <v>80</v>
      </c>
      <c r="C11" s="17"/>
      <c r="D11" s="17"/>
      <c r="E11" s="17"/>
      <c r="F11" s="17"/>
      <c r="G11" s="17"/>
      <c r="H11" s="17"/>
      <c r="I11" s="17"/>
      <c r="J11" s="17"/>
      <c r="K11" s="17">
        <v>400</v>
      </c>
      <c r="L11" s="17"/>
      <c r="M11" s="17"/>
      <c r="N11" s="17"/>
    </row>
    <row r="12" spans="1:14" x14ac:dyDescent="0.25">
      <c r="B12" t="s">
        <v>13</v>
      </c>
      <c r="C12" s="17"/>
      <c r="D12" s="17">
        <v>11250</v>
      </c>
      <c r="E12" s="17"/>
      <c r="F12" s="17"/>
      <c r="G12" s="17"/>
      <c r="H12" s="17"/>
      <c r="I12" s="17"/>
      <c r="J12" s="17">
        <v>200</v>
      </c>
      <c r="K12" s="17"/>
      <c r="L12" s="17"/>
      <c r="M12" s="17"/>
      <c r="N12" s="17"/>
    </row>
    <row r="13" spans="1:14" x14ac:dyDescent="0.25">
      <c r="B13" t="s">
        <v>14</v>
      </c>
      <c r="C13" s="17"/>
      <c r="D13" s="17">
        <v>618.75</v>
      </c>
      <c r="E13" s="17"/>
      <c r="F13" s="17"/>
      <c r="G13" s="17"/>
      <c r="H13" s="17"/>
      <c r="I13" s="17"/>
      <c r="J13" s="17">
        <v>11</v>
      </c>
      <c r="K13" s="17"/>
      <c r="L13" s="17"/>
      <c r="M13" s="17"/>
      <c r="N13" s="17"/>
    </row>
    <row r="14" spans="1:14" x14ac:dyDescent="0.25">
      <c r="B14" t="s">
        <v>15</v>
      </c>
      <c r="C14" s="17"/>
      <c r="D14" s="17">
        <f>33522*0.5</f>
        <v>16761</v>
      </c>
      <c r="E14" s="17">
        <f>846*0.5</f>
        <v>423</v>
      </c>
      <c r="F14" s="17"/>
      <c r="G14" s="17"/>
    </row>
    <row r="15" spans="1:14" x14ac:dyDescent="0.25">
      <c r="A15" s="2" t="s">
        <v>6</v>
      </c>
      <c r="B15" t="s">
        <v>88</v>
      </c>
      <c r="C15" s="17">
        <v>47670</v>
      </c>
      <c r="D15" s="17">
        <f>597844+5040-1700</f>
        <v>601184</v>
      </c>
      <c r="E15" s="17">
        <v>10899</v>
      </c>
      <c r="F15" s="17">
        <v>46897</v>
      </c>
      <c r="G15" s="17">
        <f>7400-2750</f>
        <v>4650</v>
      </c>
      <c r="H15" s="17">
        <v>34440</v>
      </c>
      <c r="I15" s="17">
        <v>18000</v>
      </c>
      <c r="J15" s="17">
        <v>28000</v>
      </c>
      <c r="K15" s="17">
        <v>47000</v>
      </c>
      <c r="L15" s="17"/>
      <c r="M15" s="17">
        <v>41625</v>
      </c>
      <c r="N15" s="17">
        <v>142125</v>
      </c>
    </row>
    <row r="16" spans="1:14" x14ac:dyDescent="0.25">
      <c r="A16" s="2" t="s">
        <v>19</v>
      </c>
      <c r="B16" t="s">
        <v>89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>
        <v>-6000</v>
      </c>
    </row>
    <row r="17" spans="1:14" x14ac:dyDescent="0.25">
      <c r="A17" s="2" t="s">
        <v>6</v>
      </c>
      <c r="B17" t="s">
        <v>12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1:14" x14ac:dyDescent="0.25">
      <c r="A18" s="2"/>
      <c r="B18" t="s">
        <v>8</v>
      </c>
      <c r="C18" s="17"/>
      <c r="D18" s="17"/>
      <c r="E18" s="17"/>
      <c r="F18" s="17"/>
      <c r="G18" s="17"/>
      <c r="H18" s="17">
        <v>667</v>
      </c>
      <c r="I18" s="17"/>
      <c r="J18" s="17"/>
      <c r="K18" s="17"/>
      <c r="L18" s="17">
        <v>5950</v>
      </c>
    </row>
    <row r="19" spans="1:14" x14ac:dyDescent="0.25">
      <c r="B19" t="s">
        <v>9</v>
      </c>
      <c r="C19" s="17">
        <v>250</v>
      </c>
      <c r="D19" s="17"/>
      <c r="E19" s="17">
        <f>800*0.3</f>
        <v>240</v>
      </c>
      <c r="F19" s="17">
        <f>460*0.3</f>
        <v>138</v>
      </c>
      <c r="G19" s="17">
        <f>550*0.3</f>
        <v>165</v>
      </c>
      <c r="H19" s="17"/>
      <c r="I19" s="17">
        <f>+(7350-7100)*0.3</f>
        <v>75</v>
      </c>
      <c r="J19" s="17">
        <f>325+(875-325)*0.3</f>
        <v>490</v>
      </c>
      <c r="K19" s="17"/>
      <c r="L19" s="17"/>
      <c r="M19" s="17">
        <v>7500</v>
      </c>
      <c r="N19" s="17"/>
    </row>
    <row r="20" spans="1:14" x14ac:dyDescent="0.25">
      <c r="B20" t="s">
        <v>36</v>
      </c>
      <c r="C20" s="19"/>
      <c r="D20" s="17">
        <v>25369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14" x14ac:dyDescent="0.25">
      <c r="B21" t="s">
        <v>41</v>
      </c>
      <c r="C21" s="19"/>
      <c r="D21" s="17"/>
      <c r="E21" s="17"/>
      <c r="F21" s="17"/>
      <c r="G21" s="17"/>
      <c r="H21" s="17">
        <v>3500</v>
      </c>
      <c r="I21" s="17"/>
      <c r="J21" s="17"/>
      <c r="K21" s="17"/>
      <c r="L21" s="17">
        <v>16000</v>
      </c>
      <c r="M21" s="17"/>
      <c r="N21" s="17"/>
    </row>
    <row r="22" spans="1:14" x14ac:dyDescent="0.25">
      <c r="B22" t="s">
        <v>42</v>
      </c>
      <c r="C22" s="19"/>
      <c r="D22" s="17"/>
      <c r="E22" s="17"/>
      <c r="F22" s="17"/>
      <c r="G22" s="17"/>
      <c r="H22" s="17">
        <v>0</v>
      </c>
      <c r="I22" s="17"/>
      <c r="J22" s="17"/>
      <c r="K22" s="17">
        <v>0</v>
      </c>
      <c r="L22" s="17"/>
      <c r="M22" s="17"/>
      <c r="N22" s="17"/>
    </row>
    <row r="23" spans="1:14" x14ac:dyDescent="0.25">
      <c r="A23" s="2" t="s">
        <v>6</v>
      </c>
      <c r="B23" t="s">
        <v>10</v>
      </c>
      <c r="C23" s="17">
        <f>6000*12</f>
        <v>72000</v>
      </c>
      <c r="D23" s="17">
        <f>1000000*0.045</f>
        <v>45000</v>
      </c>
      <c r="E23" s="17">
        <f>3000*0.9/1.19-1800</f>
        <v>468.90756302521004</v>
      </c>
      <c r="F23" s="17">
        <v>956</v>
      </c>
      <c r="G23" s="17">
        <f>1000+217</f>
        <v>1217</v>
      </c>
      <c r="H23" s="17"/>
      <c r="I23" s="17">
        <v>7100</v>
      </c>
      <c r="J23" s="17">
        <f>156000-(8500*12)</f>
        <v>54000</v>
      </c>
      <c r="K23" s="17">
        <v>16897</v>
      </c>
      <c r="L23" s="17">
        <f>5*1000+100000*(0.12-0.04)*7/12</f>
        <v>9666.6666666666661</v>
      </c>
      <c r="M23" s="17">
        <v>63000</v>
      </c>
      <c r="N23" s="17"/>
    </row>
    <row r="24" spans="1:14" x14ac:dyDescent="0.25">
      <c r="A24" s="2" t="s">
        <v>19</v>
      </c>
      <c r="B24" t="s">
        <v>37</v>
      </c>
      <c r="C24" s="17"/>
      <c r="D24" s="17">
        <v>-45000</v>
      </c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4" x14ac:dyDescent="0.25">
      <c r="A25" s="2" t="s">
        <v>6</v>
      </c>
      <c r="B25" t="s">
        <v>16</v>
      </c>
      <c r="C25" s="17"/>
      <c r="D25" s="17">
        <f>-D24*0.05</f>
        <v>2250</v>
      </c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4" x14ac:dyDescent="0.25">
      <c r="A26" s="2" t="s">
        <v>6</v>
      </c>
      <c r="B26" t="s">
        <v>7</v>
      </c>
      <c r="C26" s="17"/>
      <c r="D26" s="17"/>
      <c r="E26" s="17"/>
      <c r="F26" s="17">
        <v>2933</v>
      </c>
      <c r="G26" s="17"/>
      <c r="H26" s="17"/>
      <c r="I26" s="17"/>
      <c r="J26" s="17"/>
      <c r="K26" s="17"/>
      <c r="L26" s="17"/>
      <c r="M26" s="17">
        <v>3000</v>
      </c>
      <c r="N26" s="17"/>
    </row>
    <row r="27" spans="1:14" x14ac:dyDescent="0.25">
      <c r="A27" s="2" t="s">
        <v>6</v>
      </c>
      <c r="B27" t="s">
        <v>11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>
        <v>5000</v>
      </c>
      <c r="N27" s="17"/>
    </row>
    <row r="28" spans="1:14" ht="15.75" thickBot="1" x14ac:dyDescent="0.3">
      <c r="A28" s="7" t="s">
        <v>5</v>
      </c>
      <c r="B28" s="8" t="s">
        <v>17</v>
      </c>
      <c r="C28" s="20">
        <f>SUM(C5:C27)</f>
        <v>479720</v>
      </c>
      <c r="D28" s="20">
        <f>SUM(D5:D27)</f>
        <v>3558631</v>
      </c>
      <c r="E28" s="20">
        <f>SUM(E5:E27)</f>
        <v>68844.907563025205</v>
      </c>
      <c r="F28" s="20">
        <f>SUM(F5:F27)</f>
        <v>291399</v>
      </c>
      <c r="G28" s="20">
        <f>SUM(G5:G27)</f>
        <v>65403</v>
      </c>
      <c r="H28" s="20">
        <f>SUM(H5:H27)</f>
        <v>240000</v>
      </c>
      <c r="I28" s="20">
        <f>SUM(I5:I27)</f>
        <v>131751</v>
      </c>
      <c r="J28" s="20">
        <f>SUM(J5:J27)</f>
        <v>267467</v>
      </c>
      <c r="K28" s="20">
        <f>SUM(K5:K27)</f>
        <v>471817</v>
      </c>
      <c r="L28" s="20">
        <f>SUM(L5:L27)</f>
        <v>207176.66666666666</v>
      </c>
      <c r="M28" s="20">
        <f>SUM(M5:M27)</f>
        <v>489600</v>
      </c>
      <c r="N28" s="20">
        <f>SUM(N5:N27)</f>
        <v>993500</v>
      </c>
    </row>
    <row r="29" spans="1:14" ht="15.75" thickTop="1" x14ac:dyDescent="0.25">
      <c r="B29" t="s">
        <v>7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</row>
    <row r="30" spans="1:14" x14ac:dyDescent="0.25">
      <c r="A30" s="5" t="s">
        <v>19</v>
      </c>
      <c r="B30" t="s">
        <v>18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>
        <v>-5000</v>
      </c>
      <c r="N30" s="17"/>
    </row>
    <row r="31" spans="1:14" ht="15.75" thickBot="1" x14ac:dyDescent="0.3">
      <c r="A31" s="9" t="s">
        <v>5</v>
      </c>
      <c r="B31" s="8" t="s">
        <v>20</v>
      </c>
      <c r="C31" s="20">
        <f>SUM(C28:C30)</f>
        <v>479720</v>
      </c>
      <c r="D31" s="20">
        <f>SUM(D28:D30)</f>
        <v>3558631</v>
      </c>
      <c r="E31" s="20">
        <f>SUM(E28:E30)</f>
        <v>68844.907563025205</v>
      </c>
      <c r="F31" s="20">
        <f>SUM(F28:F30)</f>
        <v>291399</v>
      </c>
      <c r="G31" s="20">
        <f>SUM(G28:G30)</f>
        <v>65403</v>
      </c>
      <c r="H31" s="20">
        <f>SUM(H28:H30)</f>
        <v>240000</v>
      </c>
      <c r="I31" s="20">
        <f>SUM(I28:I30)</f>
        <v>131751</v>
      </c>
      <c r="J31" s="20">
        <f>SUM(J28:J30)</f>
        <v>267467</v>
      </c>
      <c r="K31" s="20">
        <f>SUM(K28:K30)</f>
        <v>471817</v>
      </c>
      <c r="L31" s="20">
        <f>SUM(L28:L30)</f>
        <v>207176.66666666666</v>
      </c>
      <c r="M31" s="20">
        <f>SUM(M28:M30)</f>
        <v>484600</v>
      </c>
      <c r="N31" s="20">
        <f>SUM(N28:N30)</f>
        <v>993500</v>
      </c>
    </row>
    <row r="32" spans="1:14" ht="15.75" thickTop="1" x14ac:dyDescent="0.25">
      <c r="A32" s="5" t="s">
        <v>19</v>
      </c>
      <c r="B32" s="6" t="s">
        <v>21</v>
      </c>
      <c r="C32" s="17">
        <v>-30000</v>
      </c>
      <c r="D32" s="17"/>
      <c r="E32" s="17"/>
      <c r="F32" s="17"/>
      <c r="G32" s="17">
        <v>-7403</v>
      </c>
      <c r="H32" s="17"/>
      <c r="I32" s="17">
        <v>-11751</v>
      </c>
      <c r="J32" s="17"/>
      <c r="K32" s="17">
        <v>-45150</v>
      </c>
      <c r="L32" s="17">
        <v>-60976</v>
      </c>
      <c r="M32" s="17"/>
      <c r="N32" s="17"/>
    </row>
    <row r="33" spans="1:14" ht="15.75" thickBot="1" x14ac:dyDescent="0.3">
      <c r="A33" s="9" t="s">
        <v>5</v>
      </c>
      <c r="B33" s="10" t="s">
        <v>22</v>
      </c>
      <c r="C33" s="20">
        <f>+C31+C32</f>
        <v>449720</v>
      </c>
      <c r="D33" s="20">
        <f>+D31+D32</f>
        <v>3558631</v>
      </c>
      <c r="E33" s="20">
        <f>+E31+E32</f>
        <v>68844.907563025205</v>
      </c>
      <c r="F33" s="20">
        <f>+F31+F32</f>
        <v>291399</v>
      </c>
      <c r="G33" s="20">
        <f>+G31+G32</f>
        <v>58000</v>
      </c>
      <c r="H33" s="20">
        <f>+H31+H32</f>
        <v>240000</v>
      </c>
      <c r="I33" s="20">
        <f>+I31+I32</f>
        <v>120000</v>
      </c>
      <c r="J33" s="20">
        <f>+J31+J32</f>
        <v>267467</v>
      </c>
      <c r="K33" s="20">
        <f>+K31+K32</f>
        <v>426667</v>
      </c>
      <c r="L33" s="20">
        <f>+L31+L32</f>
        <v>146200.66666666666</v>
      </c>
      <c r="M33" s="20">
        <f>+M31+M32</f>
        <v>484600</v>
      </c>
      <c r="N33" s="20">
        <f>+N31+N32</f>
        <v>993500</v>
      </c>
    </row>
    <row r="34" spans="1:14" ht="15.75" thickTop="1" x14ac:dyDescent="0.25">
      <c r="A34" s="5" t="s">
        <v>19</v>
      </c>
      <c r="B34" t="s">
        <v>23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</row>
    <row r="35" spans="1:14" ht="15.75" thickBot="1" x14ac:dyDescent="0.3">
      <c r="A35" s="9" t="s">
        <v>5</v>
      </c>
      <c r="B35" s="8" t="s">
        <v>24</v>
      </c>
      <c r="C35" s="20">
        <f>SUM(C33:C34)</f>
        <v>449720</v>
      </c>
      <c r="D35" s="20">
        <f>SUM(D33:D34)</f>
        <v>3558631</v>
      </c>
      <c r="E35" s="20">
        <f>SUM(E33:E34)</f>
        <v>68844.907563025205</v>
      </c>
      <c r="F35" s="20">
        <f>SUM(F33:F34)</f>
        <v>291399</v>
      </c>
      <c r="G35" s="20">
        <f>SUM(G33:G34)</f>
        <v>58000</v>
      </c>
      <c r="H35" s="20">
        <f>SUM(H33:H34)</f>
        <v>240000</v>
      </c>
      <c r="I35" s="20">
        <f>SUM(I33:I34)</f>
        <v>120000</v>
      </c>
      <c r="J35" s="20">
        <f>SUM(J33:J34)</f>
        <v>267467</v>
      </c>
      <c r="K35" s="20">
        <f>SUM(K33:K34)</f>
        <v>426667</v>
      </c>
      <c r="L35" s="20">
        <f>SUM(L33:L34)</f>
        <v>146200.66666666666</v>
      </c>
      <c r="M35" s="20">
        <f>SUM(M33:M34)</f>
        <v>484600</v>
      </c>
      <c r="N35" s="20">
        <f>SUM(N33:N34)</f>
        <v>993500</v>
      </c>
    </row>
    <row r="36" spans="1:14" ht="15.75" thickTop="1" x14ac:dyDescent="0.25">
      <c r="A36" s="5" t="s">
        <v>25</v>
      </c>
      <c r="B36" s="6" t="s">
        <v>34</v>
      </c>
      <c r="C36" s="14">
        <v>0.15</v>
      </c>
      <c r="D36" s="14">
        <v>0.15</v>
      </c>
      <c r="E36" s="14">
        <v>0.15</v>
      </c>
      <c r="F36" s="14">
        <v>0.15</v>
      </c>
      <c r="G36" s="14">
        <v>0.15</v>
      </c>
      <c r="H36" s="14">
        <v>0.15</v>
      </c>
      <c r="I36" s="14">
        <v>0.15</v>
      </c>
      <c r="J36" s="14">
        <v>0.15</v>
      </c>
      <c r="K36" s="14">
        <v>0.15</v>
      </c>
      <c r="L36" s="14">
        <v>0.15</v>
      </c>
      <c r="M36" s="14">
        <v>0.15</v>
      </c>
      <c r="N36" s="14">
        <v>0.15</v>
      </c>
    </row>
    <row r="37" spans="1:14" ht="15.75" thickBot="1" x14ac:dyDescent="0.3">
      <c r="A37" s="9" t="s">
        <v>5</v>
      </c>
      <c r="B37" s="10" t="s">
        <v>26</v>
      </c>
      <c r="C37" s="20">
        <f>+C35*C36</f>
        <v>67458</v>
      </c>
      <c r="D37" s="20">
        <f>+D35*D36</f>
        <v>533794.65</v>
      </c>
      <c r="E37" s="20">
        <f>+E35*E36</f>
        <v>10326.73613445378</v>
      </c>
      <c r="F37" s="20">
        <f>+F35*F36</f>
        <v>43709.85</v>
      </c>
      <c r="G37" s="20">
        <f>+G35*G36</f>
        <v>8700</v>
      </c>
      <c r="H37" s="20">
        <f>+H35*H36</f>
        <v>36000</v>
      </c>
      <c r="I37" s="20">
        <f>+I35*I36</f>
        <v>18000</v>
      </c>
      <c r="J37" s="20">
        <f>+J35*J36</f>
        <v>40120.049999999996</v>
      </c>
      <c r="K37" s="20">
        <f>+K35*K36</f>
        <v>64000.049999999996</v>
      </c>
      <c r="L37" s="20">
        <f>+L35*L36</f>
        <v>21930.1</v>
      </c>
      <c r="M37" s="20">
        <f>+M35*M36</f>
        <v>72690</v>
      </c>
      <c r="N37" s="20">
        <f>+N35*N36</f>
        <v>149025</v>
      </c>
    </row>
    <row r="38" spans="1:14" ht="15.75" thickTop="1" x14ac:dyDescent="0.25">
      <c r="A38" s="5" t="s">
        <v>19</v>
      </c>
      <c r="B38" s="6" t="s">
        <v>30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</row>
    <row r="39" spans="1:14" ht="15.75" thickBot="1" x14ac:dyDescent="0.3">
      <c r="A39" s="9" t="s">
        <v>5</v>
      </c>
      <c r="B39" s="10" t="s">
        <v>27</v>
      </c>
      <c r="C39" s="20">
        <f>+C37+C38</f>
        <v>67458</v>
      </c>
      <c r="D39" s="20">
        <f>+D37+D38</f>
        <v>533794.65</v>
      </c>
      <c r="E39" s="20">
        <f>+E37+E38</f>
        <v>10326.73613445378</v>
      </c>
      <c r="F39" s="20">
        <f>+F37+F38</f>
        <v>43709.85</v>
      </c>
      <c r="G39" s="20">
        <f>+G37+G38</f>
        <v>8700</v>
      </c>
      <c r="H39" s="20">
        <f>+H37+H38</f>
        <v>36000</v>
      </c>
      <c r="I39" s="20">
        <f>+I37+I38</f>
        <v>18000</v>
      </c>
      <c r="J39" s="20">
        <f>+J37+J38</f>
        <v>40120.049999999996</v>
      </c>
      <c r="K39" s="20">
        <f>+K37+K38</f>
        <v>64000.049999999996</v>
      </c>
      <c r="L39" s="20">
        <f>+L37+L38</f>
        <v>21930.1</v>
      </c>
      <c r="M39" s="20">
        <f>+M37+M38</f>
        <v>72690</v>
      </c>
      <c r="N39" s="20">
        <f>+N37+N38</f>
        <v>149025</v>
      </c>
    </row>
    <row r="40" spans="1:14" ht="15.75" thickTop="1" x14ac:dyDescent="0.25">
      <c r="A40" s="5" t="s">
        <v>19</v>
      </c>
      <c r="B40" s="6" t="s">
        <v>28</v>
      </c>
      <c r="C40" s="17">
        <f>-C7</f>
        <v>-45000</v>
      </c>
      <c r="D40" s="17">
        <f>-D7</f>
        <v>-456250</v>
      </c>
      <c r="E40" s="17">
        <f>-E7-E12</f>
        <v>-10000</v>
      </c>
      <c r="F40" s="17">
        <f>-F7-F12</f>
        <v>-36000</v>
      </c>
      <c r="G40" s="17">
        <f>-G7-G12</f>
        <v>-7000</v>
      </c>
      <c r="H40" s="17">
        <f>-H7-H12</f>
        <v>-27000</v>
      </c>
      <c r="I40" s="17">
        <f>-I7-I12</f>
        <v>-20000</v>
      </c>
      <c r="J40" s="17">
        <f>-J7</f>
        <v>-30000</v>
      </c>
      <c r="K40" s="17">
        <f>-K7-K12</f>
        <v>-43000</v>
      </c>
      <c r="L40" s="17">
        <f>-L7-L12</f>
        <v>0</v>
      </c>
      <c r="M40" s="17">
        <f>-M7-M12</f>
        <v>-45000</v>
      </c>
      <c r="N40" s="17">
        <f>-N7-N12</f>
        <v>-150396</v>
      </c>
    </row>
    <row r="41" spans="1:14" x14ac:dyDescent="0.25">
      <c r="A41" s="12" t="s">
        <v>19</v>
      </c>
      <c r="B41" s="11" t="s">
        <v>29</v>
      </c>
      <c r="C41" s="24"/>
      <c r="D41" s="24">
        <f>-D12</f>
        <v>-11250</v>
      </c>
      <c r="E41" s="24"/>
      <c r="F41" s="24"/>
      <c r="G41" s="24"/>
      <c r="H41" s="24"/>
      <c r="I41" s="24"/>
      <c r="J41" s="24">
        <f>-J12</f>
        <v>-200</v>
      </c>
      <c r="K41" s="24"/>
      <c r="L41" s="24"/>
      <c r="M41" s="24"/>
      <c r="N41" s="24"/>
    </row>
    <row r="42" spans="1:14" ht="15.75" thickBot="1" x14ac:dyDescent="0.3">
      <c r="A42" s="9" t="s">
        <v>5</v>
      </c>
      <c r="B42" s="10" t="s">
        <v>31</v>
      </c>
      <c r="C42" s="20">
        <f>+C39+C40+C41</f>
        <v>22458</v>
      </c>
      <c r="D42" s="20">
        <f>+D39+D40+D41</f>
        <v>66294.650000000023</v>
      </c>
      <c r="E42" s="20">
        <f>+E39+E40+E41</f>
        <v>326.73613445378032</v>
      </c>
      <c r="F42" s="20">
        <f>+F39+F40+F41</f>
        <v>7709.8499999999985</v>
      </c>
      <c r="G42" s="20">
        <f>+G39+G40+G41</f>
        <v>1700</v>
      </c>
      <c r="H42" s="20">
        <f>+H39+H40+H41</f>
        <v>9000</v>
      </c>
      <c r="I42" s="20">
        <f>+I39+I40+I41</f>
        <v>-2000</v>
      </c>
      <c r="J42" s="20">
        <f>+J39+J40+J41</f>
        <v>9920.0499999999956</v>
      </c>
      <c r="K42" s="20">
        <f>+K39+K40+K41</f>
        <v>21000.049999999996</v>
      </c>
      <c r="L42" s="20">
        <f>+L39+L40+L41</f>
        <v>21930.1</v>
      </c>
      <c r="M42" s="20">
        <f>+M39+M40+M41</f>
        <v>27690</v>
      </c>
      <c r="N42" s="20">
        <f>+N39+N40+N41</f>
        <v>-1371</v>
      </c>
    </row>
    <row r="43" spans="1:14" ht="15.75" thickTop="1" x14ac:dyDescent="0.25">
      <c r="A43" s="13" t="s">
        <v>25</v>
      </c>
      <c r="B43" s="11" t="s">
        <v>33</v>
      </c>
      <c r="C43" s="15">
        <v>5.5E-2</v>
      </c>
      <c r="D43" s="15">
        <v>5.5E-2</v>
      </c>
      <c r="E43" s="15">
        <v>5.5E-2</v>
      </c>
      <c r="F43" s="15">
        <v>5.5E-2</v>
      </c>
      <c r="G43" s="15">
        <v>5.5E-2</v>
      </c>
      <c r="H43" s="15">
        <v>5.5E-2</v>
      </c>
      <c r="I43" s="15">
        <v>5.5E-2</v>
      </c>
      <c r="J43" s="15">
        <v>5.5E-2</v>
      </c>
      <c r="K43" s="15">
        <v>5.5E-2</v>
      </c>
      <c r="L43" s="15">
        <v>5.5E-2</v>
      </c>
      <c r="M43" s="15">
        <v>5.5E-2</v>
      </c>
      <c r="N43" s="15">
        <v>5.5E-2</v>
      </c>
    </row>
    <row r="44" spans="1:14" ht="15.75" thickBot="1" x14ac:dyDescent="0.3">
      <c r="A44" s="9" t="s">
        <v>5</v>
      </c>
      <c r="B44" s="10" t="s">
        <v>32</v>
      </c>
      <c r="C44" s="20">
        <f>+C42*C43</f>
        <v>1235.19</v>
      </c>
      <c r="D44" s="20">
        <f>+D42*D43</f>
        <v>3646.2057500000014</v>
      </c>
      <c r="E44" s="20">
        <f>+E42*E43</f>
        <v>17.970487394957917</v>
      </c>
      <c r="F44" s="20">
        <f>+F42*F43</f>
        <v>424.04174999999992</v>
      </c>
      <c r="G44" s="20">
        <f>+G42*G43</f>
        <v>93.5</v>
      </c>
      <c r="H44" s="20">
        <f>+H42*H43</f>
        <v>495</v>
      </c>
      <c r="I44" s="20">
        <f>+I42*I43</f>
        <v>-110</v>
      </c>
      <c r="J44" s="20">
        <f>+J42*J43</f>
        <v>545.60274999999979</v>
      </c>
      <c r="K44" s="20">
        <f>+K42*K43</f>
        <v>1155.0027499999999</v>
      </c>
      <c r="L44" s="20">
        <f>+L42*L43</f>
        <v>1206.1554999999998</v>
      </c>
      <c r="M44" s="20">
        <f>+M42*M43</f>
        <v>1522.95</v>
      </c>
      <c r="N44" s="20">
        <f>+N42*N43</f>
        <v>-75.405000000000001</v>
      </c>
    </row>
    <row r="45" spans="1:14" ht="16.5" thickTop="1" thickBot="1" x14ac:dyDescent="0.3">
      <c r="A45" s="9" t="s">
        <v>5</v>
      </c>
      <c r="B45" s="10" t="s">
        <v>38</v>
      </c>
      <c r="C45" s="20">
        <f>+C5-C42-C44</f>
        <v>288631.81</v>
      </c>
      <c r="D45" s="20">
        <f>+D3-D42-D44</f>
        <v>2349914.1442499999</v>
      </c>
      <c r="E45" s="20">
        <f>+E3-E42-E44</f>
        <v>45919.293378151262</v>
      </c>
      <c r="F45" s="20">
        <f>+F3-6000-330-F42-F44</f>
        <v>171491.10824999999</v>
      </c>
      <c r="G45" s="20">
        <f>+G3-6000-330-G42-G44</f>
        <v>43862.5</v>
      </c>
      <c r="H45" s="20">
        <f>+H3-H42-H44</f>
        <v>165945</v>
      </c>
      <c r="I45" s="20">
        <f>+I3-I42-I44</f>
        <v>87586</v>
      </c>
      <c r="J45" s="20">
        <f>+J3-J42-J44</f>
        <v>124683.34725000001</v>
      </c>
      <c r="K45" s="20">
        <f>+K3-K42-K44</f>
        <v>309999.94725000003</v>
      </c>
      <c r="L45" s="20">
        <f>+L3-L42-L44</f>
        <v>101423.7445</v>
      </c>
      <c r="M45" s="20">
        <f>+M5-M42-M44</f>
        <v>292787.05</v>
      </c>
      <c r="N45" s="20">
        <f>+N5-N42-N44</f>
        <v>702896.40500000003</v>
      </c>
    </row>
    <row r="46" spans="1:14" ht="15.75" thickTop="1" x14ac:dyDescent="0.25"/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AFD7A-1BAD-4F15-91C4-6948BF2EF3AC}">
  <dimension ref="A2:F44"/>
  <sheetViews>
    <sheetView topLeftCell="A37" zoomScale="250" zoomScaleNormal="250" workbookViewId="0">
      <selection activeCell="B43" sqref="B43"/>
    </sheetView>
  </sheetViews>
  <sheetFormatPr baseColWidth="10" defaultRowHeight="15" x14ac:dyDescent="0.25"/>
  <cols>
    <col min="4" max="4" width="12.140625" bestFit="1" customWidth="1"/>
    <col min="5" max="6" width="12.7109375" bestFit="1" customWidth="1"/>
  </cols>
  <sheetData>
    <row r="2" spans="1:6" x14ac:dyDescent="0.25">
      <c r="A2" s="25" t="s">
        <v>47</v>
      </c>
    </row>
    <row r="3" spans="1:6" x14ac:dyDescent="0.25">
      <c r="A3" t="s">
        <v>48</v>
      </c>
      <c r="F3" s="19">
        <v>2213335</v>
      </c>
    </row>
    <row r="4" spans="1:6" x14ac:dyDescent="0.25">
      <c r="A4" t="s">
        <v>50</v>
      </c>
      <c r="E4" s="21" t="s">
        <v>51</v>
      </c>
      <c r="F4" s="19">
        <f>-F3*0.15</f>
        <v>-332000.25</v>
      </c>
    </row>
    <row r="5" spans="1:6" x14ac:dyDescent="0.25">
      <c r="A5" t="s">
        <v>53</v>
      </c>
      <c r="E5" s="21" t="s">
        <v>52</v>
      </c>
      <c r="F5" s="19">
        <f>+F4*0.055</f>
        <v>-18260.013750000002</v>
      </c>
    </row>
    <row r="6" spans="1:6" x14ac:dyDescent="0.25">
      <c r="A6" t="s">
        <v>49</v>
      </c>
      <c r="F6" s="19">
        <v>-400275</v>
      </c>
    </row>
    <row r="7" spans="1:6" x14ac:dyDescent="0.25">
      <c r="A7" t="s">
        <v>54</v>
      </c>
      <c r="F7" s="19">
        <f>SUM(F3:F6)</f>
        <v>1462799.7362500001</v>
      </c>
    </row>
    <row r="8" spans="1:6" x14ac:dyDescent="0.25">
      <c r="A8" t="s">
        <v>55</v>
      </c>
      <c r="E8" s="21" t="s">
        <v>57</v>
      </c>
      <c r="F8" s="19">
        <f>-F7*0.25</f>
        <v>-365699.93406250002</v>
      </c>
    </row>
    <row r="9" spans="1:6" x14ac:dyDescent="0.25">
      <c r="A9" t="s">
        <v>56</v>
      </c>
      <c r="E9" s="21" t="s">
        <v>58</v>
      </c>
      <c r="F9" s="19">
        <f>+F8*0.055</f>
        <v>-20113.496373437501</v>
      </c>
    </row>
    <row r="10" spans="1:6" x14ac:dyDescent="0.25">
      <c r="A10" t="s">
        <v>59</v>
      </c>
      <c r="F10" s="19">
        <f>SUM(F7:F9)</f>
        <v>1076986.3058140625</v>
      </c>
    </row>
    <row r="12" spans="1:6" x14ac:dyDescent="0.25">
      <c r="A12" s="22" t="s">
        <v>64</v>
      </c>
    </row>
    <row r="13" spans="1:6" x14ac:dyDescent="0.25">
      <c r="A13" t="s">
        <v>60</v>
      </c>
      <c r="E13" s="19">
        <f>+F10</f>
        <v>1076986.3058140625</v>
      </c>
      <c r="F13" s="19"/>
    </row>
    <row r="14" spans="1:6" x14ac:dyDescent="0.25">
      <c r="A14" t="s">
        <v>61</v>
      </c>
      <c r="E14" s="19">
        <f>-F8</f>
        <v>365699.93406250002</v>
      </c>
      <c r="F14" s="19"/>
    </row>
    <row r="15" spans="1:6" x14ac:dyDescent="0.25">
      <c r="A15" t="s">
        <v>62</v>
      </c>
      <c r="E15" s="19">
        <f>-F9</f>
        <v>20113.496373437501</v>
      </c>
      <c r="F15" s="19"/>
    </row>
    <row r="16" spans="1:6" x14ac:dyDescent="0.25">
      <c r="B16" t="s">
        <v>63</v>
      </c>
      <c r="E16" s="19"/>
      <c r="F16" s="19">
        <f>+F7</f>
        <v>1462799.7362500001</v>
      </c>
    </row>
    <row r="18" spans="1:6" x14ac:dyDescent="0.25">
      <c r="A18" t="s">
        <v>69</v>
      </c>
      <c r="E18" s="21" t="s">
        <v>65</v>
      </c>
      <c r="F18" s="19">
        <f>-E14</f>
        <v>-365699.93406250002</v>
      </c>
    </row>
    <row r="19" spans="1:6" x14ac:dyDescent="0.25">
      <c r="E19" s="21" t="s">
        <v>65</v>
      </c>
      <c r="F19" s="19">
        <f>-E15</f>
        <v>-20113.496373437501</v>
      </c>
    </row>
    <row r="20" spans="1:6" x14ac:dyDescent="0.25">
      <c r="E20" s="21" t="s">
        <v>66</v>
      </c>
      <c r="F20" s="19">
        <f>+F16</f>
        <v>1462799.7362500001</v>
      </c>
    </row>
    <row r="21" spans="1:6" x14ac:dyDescent="0.25">
      <c r="A21" t="s">
        <v>70</v>
      </c>
      <c r="D21" s="21"/>
      <c r="E21" s="19"/>
    </row>
    <row r="22" spans="1:6" x14ac:dyDescent="0.25">
      <c r="A22" s="2" t="s">
        <v>77</v>
      </c>
      <c r="D22" s="21"/>
      <c r="E22" s="21" t="s">
        <v>72</v>
      </c>
      <c r="F22" s="19">
        <f>-F18</f>
        <v>365699.93406250002</v>
      </c>
    </row>
    <row r="23" spans="1:6" x14ac:dyDescent="0.25">
      <c r="D23" s="21"/>
      <c r="E23" s="21" t="s">
        <v>72</v>
      </c>
      <c r="F23" s="19">
        <f>-F19</f>
        <v>20113.496373437501</v>
      </c>
    </row>
    <row r="24" spans="1:6" x14ac:dyDescent="0.25">
      <c r="A24" s="2" t="s">
        <v>71</v>
      </c>
      <c r="E24" s="21" t="s">
        <v>73</v>
      </c>
      <c r="F24" s="19">
        <f>-F20</f>
        <v>-1462799.7362500001</v>
      </c>
    </row>
    <row r="25" spans="1:6" x14ac:dyDescent="0.25">
      <c r="A25" s="2"/>
      <c r="E25" s="21" t="s">
        <v>74</v>
      </c>
      <c r="F25" s="19">
        <f>-F24*0.05</f>
        <v>73139.986812500007</v>
      </c>
    </row>
    <row r="26" spans="1:6" x14ac:dyDescent="0.25">
      <c r="A26" s="2" t="s">
        <v>75</v>
      </c>
      <c r="E26" s="21" t="s">
        <v>76</v>
      </c>
      <c r="F26" s="19">
        <v>0</v>
      </c>
    </row>
    <row r="27" spans="1:6" x14ac:dyDescent="0.25">
      <c r="A27" s="2"/>
    </row>
    <row r="28" spans="1:6" x14ac:dyDescent="0.25">
      <c r="A28" s="22" t="s">
        <v>67</v>
      </c>
    </row>
    <row r="29" spans="1:6" x14ac:dyDescent="0.25">
      <c r="A29" t="s">
        <v>60</v>
      </c>
      <c r="E29" s="19">
        <f>+F10</f>
        <v>1076986.3058140625</v>
      </c>
      <c r="F29" s="19"/>
    </row>
    <row r="30" spans="1:6" x14ac:dyDescent="0.25">
      <c r="A30" t="s">
        <v>68</v>
      </c>
      <c r="E30" s="19">
        <f>-F8-F9</f>
        <v>385813.43043593754</v>
      </c>
      <c r="F30" s="19"/>
    </row>
    <row r="31" spans="1:6" x14ac:dyDescent="0.25">
      <c r="B31" t="s">
        <v>63</v>
      </c>
      <c r="E31" s="19"/>
      <c r="F31" s="19">
        <f>+F7</f>
        <v>1462799.7362500001</v>
      </c>
    </row>
    <row r="33" spans="1:6" x14ac:dyDescent="0.25">
      <c r="A33" t="s">
        <v>69</v>
      </c>
      <c r="E33" s="21" t="s">
        <v>66</v>
      </c>
      <c r="F33" s="19">
        <f>+F31</f>
        <v>1462799.7362500001</v>
      </c>
    </row>
    <row r="34" spans="1:6" x14ac:dyDescent="0.25">
      <c r="A34" t="s">
        <v>70</v>
      </c>
      <c r="D34" s="21"/>
      <c r="E34" s="23" t="s">
        <v>78</v>
      </c>
      <c r="F34" s="19">
        <f>+F33*0.4</f>
        <v>585119.89450000005</v>
      </c>
    </row>
    <row r="35" spans="1:6" x14ac:dyDescent="0.25">
      <c r="D35" s="21"/>
      <c r="E35" s="19"/>
    </row>
    <row r="36" spans="1:6" x14ac:dyDescent="0.25">
      <c r="A36" s="25" t="s">
        <v>82</v>
      </c>
    </row>
    <row r="37" spans="1:6" x14ac:dyDescent="0.25">
      <c r="A37" t="s">
        <v>48</v>
      </c>
      <c r="F37" s="19">
        <v>225000</v>
      </c>
    </row>
    <row r="38" spans="1:6" x14ac:dyDescent="0.25">
      <c r="A38" t="s">
        <v>50</v>
      </c>
      <c r="E38" s="21" t="s">
        <v>83</v>
      </c>
      <c r="F38" s="19">
        <f>-F37*0.15</f>
        <v>-33750</v>
      </c>
    </row>
    <row r="39" spans="1:6" x14ac:dyDescent="0.25">
      <c r="A39" t="s">
        <v>53</v>
      </c>
      <c r="E39" s="21" t="s">
        <v>84</v>
      </c>
      <c r="F39" s="19">
        <f>+F38*0.055</f>
        <v>-1856.25</v>
      </c>
    </row>
    <row r="40" spans="1:6" x14ac:dyDescent="0.25">
      <c r="A40" t="s">
        <v>49</v>
      </c>
      <c r="F40" s="19">
        <v>-31900</v>
      </c>
    </row>
    <row r="41" spans="1:6" x14ac:dyDescent="0.25">
      <c r="A41" t="s">
        <v>54</v>
      </c>
      <c r="F41" s="19">
        <f>SUM(F37:F40)</f>
        <v>157493.75</v>
      </c>
    </row>
    <row r="42" spans="1:6" x14ac:dyDescent="0.25">
      <c r="A42" t="s">
        <v>55</v>
      </c>
      <c r="E42" s="21" t="s">
        <v>85</v>
      </c>
      <c r="F42" s="19">
        <f>-F41*0.25</f>
        <v>-39373.4375</v>
      </c>
    </row>
    <row r="43" spans="1:6" x14ac:dyDescent="0.25">
      <c r="A43" t="s">
        <v>56</v>
      </c>
      <c r="E43" s="21" t="s">
        <v>86</v>
      </c>
      <c r="F43" s="19">
        <f>+F42*0.055</f>
        <v>-2165.5390625</v>
      </c>
    </row>
    <row r="44" spans="1:6" x14ac:dyDescent="0.25">
      <c r="A44" t="s">
        <v>59</v>
      </c>
      <c r="F44" s="19">
        <f>SUM(F41:F43)</f>
        <v>115954.7734375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Endgültiger Jahresüberschuss</vt:lpstr>
      <vt:lpstr>Zusätzliche Aufgaben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G</dc:creator>
  <cp:lastModifiedBy>S G</cp:lastModifiedBy>
  <dcterms:created xsi:type="dcterms:W3CDTF">2026-08-10T11:12:05Z</dcterms:created>
  <dcterms:modified xsi:type="dcterms:W3CDTF">2026-08-12T12:17:43Z</dcterms:modified>
</cp:coreProperties>
</file>